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mperial" sheetId="1" r:id="rId1"/>
    <sheet name="Metric" sheetId="2" r:id="rId2"/>
  </sheets>
  <definedNames>
    <definedName name="DM_415">'Imperial'!$G$4:$L$55</definedName>
    <definedName name="DM_R275">'Imperial'!$C$4:$F$55</definedName>
    <definedName name="IM_1000">'Imperial'!$Y$4:$AD$56</definedName>
    <definedName name="IM_1600">'Imperial'!$S$4:$X$56</definedName>
    <definedName name="IM_750">'Imperial'!$M$4:$R$56</definedName>
    <definedName name="LM_10000">'Imperial'!$AQ$4:$AV$55</definedName>
    <definedName name="LM_3000">'Imperial'!$AE$4:$AJ$55</definedName>
    <definedName name="LM_5000">'Imperial'!$AK$4:$AP$55</definedName>
    <definedName name="_xlnm.Print_Titles" localSheetId="0">'Imperial'!$A:$B,'Imperial'!$1:$5</definedName>
    <definedName name="Print_Titles_MI" localSheetId="0">'Imperial'!$4:$5,'Imperial'!$A:$B</definedName>
    <definedName name="Res_Mtr">'Imperial'!$C$4:$F$55</definedName>
  </definedNames>
  <calcPr fullCalcOnLoad="1"/>
</workbook>
</file>

<file path=xl/sharedStrings.xml><?xml version="1.0" encoding="utf-8"?>
<sst xmlns="http://schemas.openxmlformats.org/spreadsheetml/2006/main" count="230" uniqueCount="99">
  <si>
    <t>Pressure</t>
  </si>
  <si>
    <t>Capacity Pressure Multiplier</t>
  </si>
  <si>
    <t>R-275</t>
  </si>
  <si>
    <t>S-275</t>
  </si>
  <si>
    <t>415</t>
  </si>
  <si>
    <t>½" wc diff Natural Gas</t>
  </si>
  <si>
    <t>½" wc diff Propane</t>
  </si>
  <si>
    <t>2" wc diff Natural Gas</t>
  </si>
  <si>
    <t>2" wc diff Propane</t>
  </si>
  <si>
    <t>7" wc (.25 psig)</t>
  </si>
  <si>
    <t>8" wc</t>
  </si>
  <si>
    <t>9" wc</t>
  </si>
  <si>
    <t>10" wc</t>
  </si>
  <si>
    <t>11" wc</t>
  </si>
  <si>
    <t>12" wc</t>
  </si>
  <si>
    <t>13" wc</t>
  </si>
  <si>
    <t>14" wc (.5 psig)</t>
  </si>
  <si>
    <t>15" wc</t>
  </si>
  <si>
    <t>16" wc</t>
  </si>
  <si>
    <t>17" wc</t>
  </si>
  <si>
    <t>18" wc</t>
  </si>
  <si>
    <t>19" wc</t>
  </si>
  <si>
    <t>20" wc</t>
  </si>
  <si>
    <t>21" wc (.75 psig)</t>
  </si>
  <si>
    <t>22" wc</t>
  </si>
  <si>
    <t>23" wc</t>
  </si>
  <si>
    <t>24" wc</t>
  </si>
  <si>
    <t>25" wc</t>
  </si>
  <si>
    <t>26" wc</t>
  </si>
  <si>
    <t>27" wc</t>
  </si>
  <si>
    <t>28" wc (1 psig)</t>
  </si>
  <si>
    <t>1.25 psig</t>
  </si>
  <si>
    <t>1.5 psig</t>
  </si>
  <si>
    <t>1.75 psig</t>
  </si>
  <si>
    <t>2 psig</t>
  </si>
  <si>
    <t>2.25 psig</t>
  </si>
  <si>
    <t>2.5 psig</t>
  </si>
  <si>
    <t>2.75 psig</t>
  </si>
  <si>
    <t>3 psig</t>
  </si>
  <si>
    <t>3.25 psig</t>
  </si>
  <si>
    <t>3.5 psig</t>
  </si>
  <si>
    <t>3.75 psig</t>
  </si>
  <si>
    <t>4 psig</t>
  </si>
  <si>
    <t>4.25 psig</t>
  </si>
  <si>
    <t>4.5 psig</t>
  </si>
  <si>
    <t>4.75 psig</t>
  </si>
  <si>
    <t>5 psig</t>
  </si>
  <si>
    <t>6 psig</t>
  </si>
  <si>
    <t>7 psig</t>
  </si>
  <si>
    <t>8 psig</t>
  </si>
  <si>
    <t>9 psig</t>
  </si>
  <si>
    <t>10 psig</t>
  </si>
  <si>
    <t>11 psig</t>
  </si>
  <si>
    <t>12 psig</t>
  </si>
  <si>
    <t>13 psig</t>
  </si>
  <si>
    <t>14 psig</t>
  </si>
  <si>
    <t>15 psig</t>
  </si>
  <si>
    <t>20 psig</t>
  </si>
  <si>
    <t>25 psig</t>
  </si>
  <si>
    <t>MR-8</t>
  </si>
  <si>
    <t>MR-12</t>
  </si>
  <si>
    <t>750 Metric</t>
  </si>
  <si>
    <t>1600 Metric</t>
  </si>
  <si>
    <t>1000 Metric</t>
  </si>
  <si>
    <t>Qmin ±1.0%</t>
  </si>
  <si>
    <t>Qmin ±10.0%</t>
  </si>
  <si>
    <t>3000 Metric</t>
  </si>
  <si>
    <t>5000 Metric</t>
  </si>
  <si>
    <t>10000 Metric</t>
  </si>
  <si>
    <t>scfh/35.31=scmh</t>
  </si>
  <si>
    <t>psig</t>
  </si>
  <si>
    <t>kPa</t>
  </si>
  <si>
    <t>4.48" wc</t>
  </si>
  <si>
    <t>5.04 psig</t>
  </si>
  <si>
    <t>10.09 psig</t>
  </si>
  <si>
    <t>15.13 psig</t>
  </si>
  <si>
    <t>20.17 psig</t>
  </si>
  <si>
    <t>24.5 psig</t>
  </si>
  <si>
    <t>5 psig Std</t>
  </si>
  <si>
    <t>10 psig Std</t>
  </si>
  <si>
    <t>20 psig Max</t>
  </si>
  <si>
    <t>100 psig Max</t>
  </si>
  <si>
    <t>25 psig Max</t>
  </si>
  <si>
    <t>10 psig Avail</t>
  </si>
  <si>
    <t>25 psig Avail</t>
  </si>
  <si>
    <t>1" wc diff Natural Gas</t>
  </si>
  <si>
    <t>1" wc diff Propane</t>
  </si>
  <si>
    <t>The R-275/S-275 is not designed to operate at differential pressures above 1/2" wc.</t>
  </si>
  <si>
    <t>The numbers in the chart below are calculated and may vary from the published values which are based on performance testing.</t>
  </si>
  <si>
    <t>½" wc diff Natural Gas Nm3/h</t>
  </si>
  <si>
    <t>½" wc diff Propane Nm3/h</t>
  </si>
  <si>
    <t>2" wc diff Natural Gas Nm3/h</t>
  </si>
  <si>
    <t>2" wc diff Propane Nm3/h</t>
  </si>
  <si>
    <t>1/2" wc diff Natural Gas Nm3h</t>
  </si>
  <si>
    <t>17 psig</t>
  </si>
  <si>
    <t>18 psig</t>
  </si>
  <si>
    <t>22 psig</t>
  </si>
  <si>
    <t>MR-9</t>
  </si>
  <si>
    <t>To calculate the capacity at differential pressures other than the 1/2" and 2" wc multiply the 1/2" rating by the square root of the quotion of the desired differential divided by .5.  For example, the base rate of the 750 meter is 750 cfh @ 1/2" differential.  Find the capacity at 0.25 psig at a 1" wc differential the formula is [750*(1/0.5)0.5]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</si>
</sst>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  <numFmt numFmtId="166" formatCode="0.0_)"/>
    <numFmt numFmtId="167" formatCode="0.00_)"/>
    <numFmt numFmtId="168" formatCode="0.0"/>
  </numFmts>
  <fonts count="8">
    <font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166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wrapText="1"/>
      <protection/>
    </xf>
    <xf numFmtId="166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 wrapText="1"/>
      <protection/>
    </xf>
    <xf numFmtId="166" fontId="3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168" fontId="0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 applyProtection="1">
      <alignment horizontal="left" indent="5"/>
      <protection/>
    </xf>
    <xf numFmtId="0" fontId="3" fillId="0" borderId="0" xfId="0" applyFont="1" applyAlignment="1" applyProtection="1">
      <alignment horizontal="left" indent="5"/>
      <protection/>
    </xf>
    <xf numFmtId="0" fontId="4" fillId="0" borderId="0" xfId="0" applyFont="1" applyAlignment="1" applyProtection="1">
      <alignment horizontal="left" indent="5"/>
      <protection/>
    </xf>
    <xf numFmtId="0" fontId="7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1381125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200025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V58"/>
  <sheetViews>
    <sheetView tabSelected="1" defaultGridColor="0" zoomScale="98" zoomScaleNormal="98" colorId="42" workbookViewId="0" topLeftCell="A1">
      <pane xSplit="2" ySplit="5" topLeftCell="D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3" sqref="K43"/>
    </sheetView>
  </sheetViews>
  <sheetFormatPr defaultColWidth="9.77734375" defaultRowHeight="15"/>
  <cols>
    <col min="1" max="1" width="23.3359375" style="0" customWidth="1"/>
    <col min="2" max="2" width="27.10546875" style="0" customWidth="1"/>
    <col min="3" max="3" width="14.77734375" style="0" customWidth="1"/>
    <col min="7" max="7" width="14.77734375" style="0" customWidth="1"/>
    <col min="11" max="11" width="14.77734375" style="0" customWidth="1"/>
  </cols>
  <sheetData>
    <row r="1" ht="31.5" customHeight="1"/>
    <row r="2" spans="1:6" ht="24" customHeight="1">
      <c r="A2" s="27" t="s">
        <v>88</v>
      </c>
      <c r="B2" s="27"/>
      <c r="D2" s="23"/>
      <c r="E2" s="23"/>
      <c r="F2" s="23"/>
    </row>
    <row r="3" spans="1:12" ht="55.5" customHeight="1">
      <c r="A3" s="27" t="s">
        <v>98</v>
      </c>
      <c r="B3" s="27"/>
      <c r="D3" s="23"/>
      <c r="E3" s="23"/>
      <c r="F3" s="23"/>
      <c r="G3" s="23"/>
      <c r="H3" s="23"/>
      <c r="I3" s="23"/>
      <c r="J3" s="23"/>
      <c r="K3" s="23"/>
      <c r="L3" s="23"/>
    </row>
    <row r="4" spans="1:48" ht="15">
      <c r="A4" s="1" t="s">
        <v>0</v>
      </c>
      <c r="B4" s="2" t="s">
        <v>1</v>
      </c>
      <c r="C4" s="1" t="s">
        <v>2</v>
      </c>
      <c r="D4" s="1" t="s">
        <v>2</v>
      </c>
      <c r="E4" s="1" t="s">
        <v>3</v>
      </c>
      <c r="F4" s="1" t="s">
        <v>3</v>
      </c>
      <c r="G4" s="1" t="s">
        <v>4</v>
      </c>
      <c r="H4" s="1" t="s">
        <v>4</v>
      </c>
      <c r="I4" s="1" t="s">
        <v>4</v>
      </c>
      <c r="J4" s="1" t="s">
        <v>4</v>
      </c>
      <c r="K4" s="1">
        <v>415</v>
      </c>
      <c r="L4" s="1">
        <v>415</v>
      </c>
      <c r="M4" s="1">
        <v>750</v>
      </c>
      <c r="N4" s="1">
        <v>750</v>
      </c>
      <c r="O4" s="1">
        <v>750</v>
      </c>
      <c r="P4" s="1">
        <v>750</v>
      </c>
      <c r="Q4" s="1">
        <v>750</v>
      </c>
      <c r="R4" s="1">
        <v>750</v>
      </c>
      <c r="S4" s="1">
        <v>1600</v>
      </c>
      <c r="T4" s="1">
        <v>1600</v>
      </c>
      <c r="U4" s="1">
        <v>1600</v>
      </c>
      <c r="V4" s="1">
        <v>1600</v>
      </c>
      <c r="W4" s="1">
        <v>1600</v>
      </c>
      <c r="X4" s="1">
        <v>1600</v>
      </c>
      <c r="Y4" s="1">
        <v>1000</v>
      </c>
      <c r="Z4" s="1">
        <v>1000</v>
      </c>
      <c r="AA4" s="1">
        <v>1000</v>
      </c>
      <c r="AB4" s="1">
        <v>1000</v>
      </c>
      <c r="AC4" s="1">
        <v>1000</v>
      </c>
      <c r="AD4" s="1">
        <v>1000</v>
      </c>
      <c r="AE4" s="1">
        <v>3000</v>
      </c>
      <c r="AF4" s="1">
        <v>3000</v>
      </c>
      <c r="AG4" s="1">
        <v>3000</v>
      </c>
      <c r="AH4" s="1">
        <v>3000</v>
      </c>
      <c r="AI4" s="1">
        <v>3000</v>
      </c>
      <c r="AJ4" s="1">
        <v>3000</v>
      </c>
      <c r="AK4" s="1">
        <v>5000</v>
      </c>
      <c r="AL4" s="1">
        <v>5000</v>
      </c>
      <c r="AM4" s="1">
        <v>5000</v>
      </c>
      <c r="AN4" s="1">
        <v>5000</v>
      </c>
      <c r="AO4" s="1">
        <v>5000</v>
      </c>
      <c r="AP4" s="1">
        <v>5000</v>
      </c>
      <c r="AQ4" s="1">
        <v>10000</v>
      </c>
      <c r="AR4" s="1">
        <v>10000</v>
      </c>
      <c r="AS4" s="1">
        <v>10000</v>
      </c>
      <c r="AT4" s="1">
        <v>10000</v>
      </c>
      <c r="AU4" s="1">
        <v>10000</v>
      </c>
      <c r="AV4" s="1">
        <v>10000</v>
      </c>
    </row>
    <row r="5" spans="1:48" ht="25.5">
      <c r="A5" s="3"/>
      <c r="B5" s="3"/>
      <c r="C5" s="2" t="s">
        <v>5</v>
      </c>
      <c r="D5" s="4" t="s">
        <v>6</v>
      </c>
      <c r="E5" s="2" t="s">
        <v>5</v>
      </c>
      <c r="F5" s="4" t="s">
        <v>6</v>
      </c>
      <c r="G5" s="2" t="s">
        <v>5</v>
      </c>
      <c r="H5" s="4" t="s">
        <v>6</v>
      </c>
      <c r="I5" s="2" t="s">
        <v>85</v>
      </c>
      <c r="J5" s="4" t="s">
        <v>86</v>
      </c>
      <c r="K5" s="2" t="s">
        <v>7</v>
      </c>
      <c r="L5" s="4" t="s">
        <v>8</v>
      </c>
      <c r="M5" s="2" t="s">
        <v>5</v>
      </c>
      <c r="N5" s="4" t="s">
        <v>6</v>
      </c>
      <c r="O5" s="2" t="s">
        <v>85</v>
      </c>
      <c r="P5" s="4" t="s">
        <v>86</v>
      </c>
      <c r="Q5" s="2" t="s">
        <v>7</v>
      </c>
      <c r="R5" s="4" t="s">
        <v>8</v>
      </c>
      <c r="S5" s="2" t="s">
        <v>5</v>
      </c>
      <c r="T5" s="4" t="s">
        <v>6</v>
      </c>
      <c r="U5" s="2" t="s">
        <v>85</v>
      </c>
      <c r="V5" s="4" t="s">
        <v>86</v>
      </c>
      <c r="W5" s="2" t="s">
        <v>7</v>
      </c>
      <c r="X5" s="4" t="s">
        <v>8</v>
      </c>
      <c r="Y5" s="2" t="s">
        <v>5</v>
      </c>
      <c r="Z5" s="4" t="s">
        <v>6</v>
      </c>
      <c r="AA5" s="2" t="s">
        <v>85</v>
      </c>
      <c r="AB5" s="4" t="s">
        <v>86</v>
      </c>
      <c r="AC5" s="2" t="s">
        <v>7</v>
      </c>
      <c r="AD5" s="4" t="s">
        <v>8</v>
      </c>
      <c r="AE5" s="2" t="s">
        <v>5</v>
      </c>
      <c r="AF5" s="4" t="s">
        <v>6</v>
      </c>
      <c r="AG5" s="2" t="s">
        <v>85</v>
      </c>
      <c r="AH5" s="4" t="s">
        <v>86</v>
      </c>
      <c r="AI5" s="2" t="s">
        <v>7</v>
      </c>
      <c r="AJ5" s="4" t="s">
        <v>8</v>
      </c>
      <c r="AK5" s="2" t="s">
        <v>5</v>
      </c>
      <c r="AL5" s="4" t="s">
        <v>6</v>
      </c>
      <c r="AM5" s="2" t="s">
        <v>85</v>
      </c>
      <c r="AN5" s="4" t="s">
        <v>86</v>
      </c>
      <c r="AO5" s="2" t="s">
        <v>7</v>
      </c>
      <c r="AP5" s="4" t="s">
        <v>8</v>
      </c>
      <c r="AQ5" s="2" t="s">
        <v>5</v>
      </c>
      <c r="AR5" s="4" t="s">
        <v>6</v>
      </c>
      <c r="AS5" s="2" t="s">
        <v>85</v>
      </c>
      <c r="AT5" s="4" t="s">
        <v>86</v>
      </c>
      <c r="AU5" s="2" t="s">
        <v>7</v>
      </c>
      <c r="AV5" s="4" t="s">
        <v>8</v>
      </c>
    </row>
    <row r="6" spans="1:48" ht="15">
      <c r="A6" s="24" t="s">
        <v>9</v>
      </c>
      <c r="B6" s="5">
        <f>SQRT((7/28+14.48)/14.73)</f>
        <v>1</v>
      </c>
      <c r="C6" s="1">
        <v>275</v>
      </c>
      <c r="D6" s="1">
        <v>175</v>
      </c>
      <c r="E6" s="1">
        <v>250</v>
      </c>
      <c r="F6" s="1">
        <v>155</v>
      </c>
      <c r="G6" s="1">
        <v>415</v>
      </c>
      <c r="H6" s="1">
        <v>260</v>
      </c>
      <c r="I6" s="18">
        <f>415*SQRT(1/0.5)</f>
        <v>586.8986283848345</v>
      </c>
      <c r="J6" s="18">
        <f>260*SQRT(1/0.5)</f>
        <v>367.6955262170047</v>
      </c>
      <c r="K6" s="1">
        <v>900</v>
      </c>
      <c r="L6" s="1">
        <v>520</v>
      </c>
      <c r="M6" s="1">
        <v>750</v>
      </c>
      <c r="N6" s="18">
        <f>750*0.63</f>
        <v>472.5</v>
      </c>
      <c r="O6" s="18">
        <f>750*SQRT(1/0.5)</f>
        <v>1060.6601717798214</v>
      </c>
      <c r="P6" s="18">
        <f>473*SQRT(1/0.5)</f>
        <v>668.923015002474</v>
      </c>
      <c r="Q6" s="1">
        <v>1600</v>
      </c>
      <c r="R6" s="1">
        <v>990</v>
      </c>
      <c r="S6" s="1">
        <v>800</v>
      </c>
      <c r="T6" s="18">
        <f>800*0.63</f>
        <v>504</v>
      </c>
      <c r="U6" s="18">
        <f>800*SQRT(1/0.5)</f>
        <v>1131.370849898476</v>
      </c>
      <c r="V6" s="18">
        <f>504*SQRT(1/0.5)</f>
        <v>712.76363543604</v>
      </c>
      <c r="W6" s="1">
        <v>1600</v>
      </c>
      <c r="X6" s="1">
        <v>990</v>
      </c>
      <c r="Y6" s="1">
        <v>1000</v>
      </c>
      <c r="Z6" s="1">
        <f>1000*0.63</f>
        <v>630</v>
      </c>
      <c r="AA6" s="18">
        <f>1000*SQRT(1/0.5)</f>
        <v>1414.213562373095</v>
      </c>
      <c r="AB6" s="18">
        <f>630*SQRT(1/0.5)</f>
        <v>890.9545442950499</v>
      </c>
      <c r="AC6" s="1">
        <v>2200</v>
      </c>
      <c r="AD6" s="1">
        <v>1360</v>
      </c>
      <c r="AE6" s="1">
        <v>1450</v>
      </c>
      <c r="AF6" s="18">
        <f>$AE6*0.63</f>
        <v>913.5</v>
      </c>
      <c r="AG6" s="18">
        <f>$AE6*SQRT(1/0.5)</f>
        <v>2050.609665440988</v>
      </c>
      <c r="AH6" s="18">
        <f>$AF6*SQRT(1/0.5)</f>
        <v>1291.8840892278224</v>
      </c>
      <c r="AI6" s="1">
        <v>3000</v>
      </c>
      <c r="AJ6" s="1">
        <v>1860</v>
      </c>
      <c r="AK6" s="1">
        <v>2500</v>
      </c>
      <c r="AL6" s="18">
        <f>$AJ6*0.63</f>
        <v>1171.8</v>
      </c>
      <c r="AM6" s="18">
        <f>$AK6*SQRT(1/0.5)</f>
        <v>3535.533905932738</v>
      </c>
      <c r="AN6" s="18">
        <f>$AL6*SQRT(1/0.5)</f>
        <v>1657.1754523887928</v>
      </c>
      <c r="AO6" s="1">
        <v>5000</v>
      </c>
      <c r="AP6" s="1">
        <v>3100</v>
      </c>
      <c r="AQ6" s="1">
        <v>5000</v>
      </c>
      <c r="AR6" s="18">
        <f>$AQ6*0.63</f>
        <v>3150</v>
      </c>
      <c r="AS6" s="18">
        <f>$AQ6*SQRT(1/0.5)</f>
        <v>7071.067811865476</v>
      </c>
      <c r="AT6" s="18">
        <f>$AR6*SQRT(1/0.5)</f>
        <v>4454.772721475249</v>
      </c>
      <c r="AU6" s="1">
        <v>10000</v>
      </c>
      <c r="AV6" s="1">
        <v>6200</v>
      </c>
    </row>
    <row r="7" spans="1:48" ht="15">
      <c r="A7" s="24" t="s">
        <v>10</v>
      </c>
      <c r="B7" s="5">
        <f>SQRT((8/28+14.48)/14.73)</f>
        <v>1.0012115636031276</v>
      </c>
      <c r="C7" s="6">
        <f>$B7*275</f>
        <v>275.33317999086006</v>
      </c>
      <c r="D7" s="6">
        <f>$B7*D$6</f>
        <v>175.21202363054732</v>
      </c>
      <c r="E7" s="6">
        <f aca="true" t="shared" si="0" ref="E7:E48">$B7*250</f>
        <v>250.3028909007819</v>
      </c>
      <c r="F7" s="6">
        <f>$B7*F$6</f>
        <v>155.18779235848478</v>
      </c>
      <c r="G7" s="6">
        <f>$B7*G$6</f>
        <v>415.50279889529793</v>
      </c>
      <c r="H7" s="6">
        <f aca="true" t="shared" si="1" ref="H7:J38">$B7*H$6</f>
        <v>260.31500653681314</v>
      </c>
      <c r="I7" s="18">
        <f>$B7*I$6</f>
        <v>587.6096934017111</v>
      </c>
      <c r="J7" s="18">
        <f>$B7*J$6</f>
        <v>368.1410127336021</v>
      </c>
      <c r="K7" s="6">
        <f>$B7*900</f>
        <v>901.0904072428148</v>
      </c>
      <c r="L7" s="6">
        <f aca="true" t="shared" si="2" ref="L7:M26">$B7*L$6</f>
        <v>520.6300130736263</v>
      </c>
      <c r="M7" s="6">
        <f t="shared" si="2"/>
        <v>750.9086727023457</v>
      </c>
      <c r="N7" s="6">
        <f aca="true" t="shared" si="3" ref="N7:P22">$B7*N$6</f>
        <v>473.0724638024778</v>
      </c>
      <c r="O7" s="18">
        <f>$B7*O$6</f>
        <v>1061.945229039237</v>
      </c>
      <c r="P7" s="18">
        <f>$B7*P$6</f>
        <v>669.7334577807454</v>
      </c>
      <c r="Q7" s="6">
        <f>$B7*Q$6</f>
        <v>1601.938501765004</v>
      </c>
      <c r="R7" s="6">
        <f>$B7*R$6</f>
        <v>991.1994479670963</v>
      </c>
      <c r="S7" s="6">
        <f>$B7*S$6</f>
        <v>800.969250882502</v>
      </c>
      <c r="T7" s="6">
        <f aca="true" t="shared" si="4" ref="T7:V22">$B7*T$6</f>
        <v>504.6106280559763</v>
      </c>
      <c r="U7" s="18">
        <f>$B7*U$6</f>
        <v>1132.7415776418525</v>
      </c>
      <c r="V7" s="18">
        <f t="shared" si="4"/>
        <v>713.6271939143671</v>
      </c>
      <c r="W7" s="6">
        <f aca="true" t="shared" si="5" ref="W7:Y26">$B7*W$6</f>
        <v>1601.938501765004</v>
      </c>
      <c r="X7" s="6">
        <f t="shared" si="5"/>
        <v>991.1994479670963</v>
      </c>
      <c r="Y7" s="6">
        <f t="shared" si="5"/>
        <v>1001.2115636031276</v>
      </c>
      <c r="Z7" s="6">
        <f aca="true" t="shared" si="6" ref="Z7:AB22">$B7*Z$6</f>
        <v>630.7632850699704</v>
      </c>
      <c r="AA7" s="18">
        <f>$B7*AA$6</f>
        <v>1415.9269720523157</v>
      </c>
      <c r="AB7" s="18">
        <f t="shared" si="6"/>
        <v>892.0339923929589</v>
      </c>
      <c r="AC7" s="6">
        <f aca="true" t="shared" si="7" ref="AC7:AE26">$B7*AC$6</f>
        <v>2202.6654399268805</v>
      </c>
      <c r="AD7" s="6">
        <f t="shared" si="7"/>
        <v>1361.6477265002536</v>
      </c>
      <c r="AE7" s="6">
        <f t="shared" si="7"/>
        <v>1451.756767224535</v>
      </c>
      <c r="AF7" s="6">
        <f aca="true" t="shared" si="8" ref="AF7:AH22">$B7*AF$6</f>
        <v>914.6067633514571</v>
      </c>
      <c r="AG7" s="18">
        <f>$B7*AG$6</f>
        <v>2053.0941094758577</v>
      </c>
      <c r="AH7" s="18">
        <f t="shared" si="8"/>
        <v>1293.4492889697904</v>
      </c>
      <c r="AI7" s="6">
        <f aca="true" t="shared" si="9" ref="AI7:AK22">$B7*AI$6</f>
        <v>3003.634690809383</v>
      </c>
      <c r="AJ7" s="6">
        <f t="shared" si="9"/>
        <v>1862.2535083018172</v>
      </c>
      <c r="AK7" s="6">
        <f t="shared" si="9"/>
        <v>2503.028909007819</v>
      </c>
      <c r="AL7" s="6">
        <f aca="true" t="shared" si="10" ref="AL7:AN22">$B7*AL$6</f>
        <v>1173.2197102301448</v>
      </c>
      <c r="AM7" s="18">
        <f>$B7*AM$6</f>
        <v>3539.8174301307895</v>
      </c>
      <c r="AN7" s="18">
        <f t="shared" si="10"/>
        <v>1659.1832258509035</v>
      </c>
      <c r="AO7" s="6">
        <f aca="true" t="shared" si="11" ref="AO7:AQ22">$B7*AO$6</f>
        <v>5006.057818015638</v>
      </c>
      <c r="AP7" s="6">
        <f t="shared" si="11"/>
        <v>3103.7558471696957</v>
      </c>
      <c r="AQ7" s="6">
        <f t="shared" si="11"/>
        <v>5006.057818015638</v>
      </c>
      <c r="AR7" s="6">
        <f aca="true" t="shared" si="12" ref="AR7:AT22">$B7*AR$6</f>
        <v>3153.8164253498517</v>
      </c>
      <c r="AS7" s="18">
        <f>$B7*AS$6</f>
        <v>7079.634860261579</v>
      </c>
      <c r="AT7" s="18">
        <f t="shared" si="12"/>
        <v>4460.169961964794</v>
      </c>
      <c r="AU7" s="6">
        <f aca="true" t="shared" si="13" ref="AU7:AV26">$B7*AU$6</f>
        <v>10012.115636031276</v>
      </c>
      <c r="AV7" s="6">
        <f t="shared" si="13"/>
        <v>6207.511694339391</v>
      </c>
    </row>
    <row r="8" spans="1:48" ht="15">
      <c r="A8" s="24" t="s">
        <v>11</v>
      </c>
      <c r="B8" s="5">
        <f>SQRT((9/28+14.48)/14.73)</f>
        <v>1.0024216628670986</v>
      </c>
      <c r="C8" s="6">
        <f aca="true" t="shared" si="14" ref="C8:C48">B8*275</f>
        <v>275.6659572884521</v>
      </c>
      <c r="D8" s="6">
        <f aca="true" t="shared" si="15" ref="D8:D48">$B8*$D$6</f>
        <v>175.42379100174225</v>
      </c>
      <c r="E8" s="6">
        <f t="shared" si="0"/>
        <v>250.60541571677464</v>
      </c>
      <c r="F8" s="6">
        <f aca="true" t="shared" si="16" ref="F8:F48">$B8*$D$6</f>
        <v>175.42379100174225</v>
      </c>
      <c r="G8" s="6">
        <f aca="true" t="shared" si="17" ref="G8:G38">B8*415</f>
        <v>416.0049900898459</v>
      </c>
      <c r="H8" s="6">
        <f t="shared" si="1"/>
        <v>260.6296323454456</v>
      </c>
      <c r="I8" s="18">
        <f t="shared" si="1"/>
        <v>588.3198989999452</v>
      </c>
      <c r="J8" s="18">
        <f t="shared" si="1"/>
        <v>368.5859608192427</v>
      </c>
      <c r="K8" s="6">
        <f aca="true" t="shared" si="18" ref="K8:K55">B8*900</f>
        <v>902.1794965803887</v>
      </c>
      <c r="L8" s="6">
        <f t="shared" si="2"/>
        <v>521.2592646908912</v>
      </c>
      <c r="M8" s="6">
        <f t="shared" si="2"/>
        <v>751.8162471503239</v>
      </c>
      <c r="N8" s="6">
        <f t="shared" si="3"/>
        <v>473.64423570470404</v>
      </c>
      <c r="O8" s="18">
        <f t="shared" si="3"/>
        <v>1063.228733132431</v>
      </c>
      <c r="P8" s="18">
        <f t="shared" si="3"/>
        <v>670.5429210288531</v>
      </c>
      <c r="Q8" s="6">
        <f aca="true" t="shared" si="19" ref="Q8:S27">$B8*Q$6</f>
        <v>1603.8746605873578</v>
      </c>
      <c r="R8" s="6">
        <f t="shared" si="19"/>
        <v>992.3974462384276</v>
      </c>
      <c r="S8" s="6">
        <f t="shared" si="19"/>
        <v>801.9373302936789</v>
      </c>
      <c r="T8" s="6">
        <f t="shared" si="4"/>
        <v>505.22051808501766</v>
      </c>
      <c r="U8" s="18">
        <f t="shared" si="4"/>
        <v>1134.110648674593</v>
      </c>
      <c r="V8" s="18">
        <f t="shared" si="4"/>
        <v>714.4897086649936</v>
      </c>
      <c r="W8" s="6">
        <f t="shared" si="5"/>
        <v>1603.8746605873578</v>
      </c>
      <c r="X8" s="6">
        <f t="shared" si="5"/>
        <v>992.3974462384276</v>
      </c>
      <c r="Y8" s="6">
        <f t="shared" si="5"/>
        <v>1002.4216628670986</v>
      </c>
      <c r="Z8" s="6">
        <f t="shared" si="6"/>
        <v>631.5256476062721</v>
      </c>
      <c r="AA8" s="18">
        <f t="shared" si="6"/>
        <v>1417.6383108432412</v>
      </c>
      <c r="AB8" s="18">
        <f t="shared" si="6"/>
        <v>893.112135831242</v>
      </c>
      <c r="AC8" s="6">
        <f t="shared" si="7"/>
        <v>2205.3276583076167</v>
      </c>
      <c r="AD8" s="6">
        <f t="shared" si="7"/>
        <v>1363.2934614992541</v>
      </c>
      <c r="AE8" s="6">
        <f t="shared" si="7"/>
        <v>1453.511411157293</v>
      </c>
      <c r="AF8" s="6">
        <f t="shared" si="8"/>
        <v>915.7121890290945</v>
      </c>
      <c r="AG8" s="18">
        <f t="shared" si="8"/>
        <v>2055.5755507227</v>
      </c>
      <c r="AH8" s="18">
        <f t="shared" si="8"/>
        <v>1295.0125969553008</v>
      </c>
      <c r="AI8" s="6">
        <f t="shared" si="9"/>
        <v>3007.2649886012955</v>
      </c>
      <c r="AJ8" s="6">
        <f t="shared" si="9"/>
        <v>1864.5042929328033</v>
      </c>
      <c r="AK8" s="6">
        <f t="shared" si="9"/>
        <v>2506.0541571677463</v>
      </c>
      <c r="AL8" s="6">
        <f t="shared" si="10"/>
        <v>1174.637704547666</v>
      </c>
      <c r="AM8" s="18">
        <f t="shared" si="10"/>
        <v>3544.095777108103</v>
      </c>
      <c r="AN8" s="18">
        <f t="shared" si="10"/>
        <v>1661.18857264611</v>
      </c>
      <c r="AO8" s="6">
        <f t="shared" si="11"/>
        <v>5012.108314335493</v>
      </c>
      <c r="AP8" s="6">
        <f t="shared" si="11"/>
        <v>3107.5071548880055</v>
      </c>
      <c r="AQ8" s="6">
        <f t="shared" si="11"/>
        <v>5012.108314335493</v>
      </c>
      <c r="AR8" s="6">
        <f t="shared" si="12"/>
        <v>3157.6282380313605</v>
      </c>
      <c r="AS8" s="18">
        <f t="shared" si="12"/>
        <v>7088.191554216206</v>
      </c>
      <c r="AT8" s="18">
        <f t="shared" si="12"/>
        <v>4465.5606791562095</v>
      </c>
      <c r="AU8" s="6">
        <f t="shared" si="13"/>
        <v>10024.216628670985</v>
      </c>
      <c r="AV8" s="6">
        <f t="shared" si="13"/>
        <v>6215.014309776011</v>
      </c>
    </row>
    <row r="9" spans="1:48" ht="15">
      <c r="A9" s="24" t="s">
        <v>12</v>
      </c>
      <c r="B9" s="5">
        <f>SQRT((10/28+14.48)/14.73)</f>
        <v>1.0036303030886715</v>
      </c>
      <c r="C9" s="6">
        <f t="shared" si="14"/>
        <v>275.99833334938467</v>
      </c>
      <c r="D9" s="6">
        <f t="shared" si="15"/>
        <v>175.63530304051753</v>
      </c>
      <c r="E9" s="6">
        <f t="shared" si="0"/>
        <v>250.9075757721679</v>
      </c>
      <c r="F9" s="6">
        <f t="shared" si="16"/>
        <v>175.63530304051753</v>
      </c>
      <c r="G9" s="6">
        <f t="shared" si="17"/>
        <v>416.5065757817987</v>
      </c>
      <c r="H9" s="6">
        <f t="shared" si="1"/>
        <v>260.9438788030546</v>
      </c>
      <c r="I9" s="18">
        <f t="shared" si="1"/>
        <v>589.0292482881971</v>
      </c>
      <c r="J9" s="18">
        <f t="shared" si="1"/>
        <v>369.030372421521</v>
      </c>
      <c r="K9" s="6">
        <f t="shared" si="18"/>
        <v>903.2672727798043</v>
      </c>
      <c r="L9" s="6">
        <f t="shared" si="2"/>
        <v>521.8877576061092</v>
      </c>
      <c r="M9" s="6">
        <f t="shared" si="2"/>
        <v>752.7227273165037</v>
      </c>
      <c r="N9" s="6">
        <f t="shared" si="3"/>
        <v>474.2153182093973</v>
      </c>
      <c r="O9" s="18">
        <f t="shared" si="3"/>
        <v>1064.5106896774646</v>
      </c>
      <c r="P9" s="18">
        <f t="shared" si="3"/>
        <v>671.351408289921</v>
      </c>
      <c r="Q9" s="6">
        <f t="shared" si="19"/>
        <v>1605.8084849418744</v>
      </c>
      <c r="R9" s="6">
        <f t="shared" si="19"/>
        <v>993.5940000577848</v>
      </c>
      <c r="S9" s="6">
        <f t="shared" si="19"/>
        <v>802.9042424709372</v>
      </c>
      <c r="T9" s="6">
        <f t="shared" si="4"/>
        <v>505.82967275669046</v>
      </c>
      <c r="U9" s="18">
        <f t="shared" si="4"/>
        <v>1135.4780689892955</v>
      </c>
      <c r="V9" s="18">
        <f t="shared" si="4"/>
        <v>715.3511834632561</v>
      </c>
      <c r="W9" s="6">
        <f t="shared" si="5"/>
        <v>1605.8084849418744</v>
      </c>
      <c r="X9" s="6">
        <f t="shared" si="5"/>
        <v>993.5940000577848</v>
      </c>
      <c r="Y9" s="6">
        <f t="shared" si="5"/>
        <v>1003.6303030886716</v>
      </c>
      <c r="Z9" s="6">
        <f t="shared" si="6"/>
        <v>632.287090945863</v>
      </c>
      <c r="AA9" s="18">
        <f t="shared" si="6"/>
        <v>1419.3475862366192</v>
      </c>
      <c r="AB9" s="18">
        <f t="shared" si="6"/>
        <v>894.1889793290702</v>
      </c>
      <c r="AC9" s="6">
        <f t="shared" si="7"/>
        <v>2207.9866667950773</v>
      </c>
      <c r="AD9" s="6">
        <f t="shared" si="7"/>
        <v>1364.9372122005932</v>
      </c>
      <c r="AE9" s="6">
        <f t="shared" si="7"/>
        <v>1455.2639394785738</v>
      </c>
      <c r="AF9" s="6">
        <f t="shared" si="8"/>
        <v>916.8162818715015</v>
      </c>
      <c r="AG9" s="18">
        <f t="shared" si="8"/>
        <v>2058.0540000430983</v>
      </c>
      <c r="AH9" s="18">
        <f t="shared" si="8"/>
        <v>1296.5740200271518</v>
      </c>
      <c r="AI9" s="6">
        <f t="shared" si="9"/>
        <v>3010.8909092660147</v>
      </c>
      <c r="AJ9" s="6">
        <f t="shared" si="9"/>
        <v>1866.752363744929</v>
      </c>
      <c r="AK9" s="6">
        <f t="shared" si="9"/>
        <v>2509.0757577216787</v>
      </c>
      <c r="AL9" s="6">
        <f t="shared" si="10"/>
        <v>1176.0539891593053</v>
      </c>
      <c r="AM9" s="18">
        <f t="shared" si="10"/>
        <v>3548.3689655915487</v>
      </c>
      <c r="AN9" s="18">
        <f t="shared" si="10"/>
        <v>1663.1915015520703</v>
      </c>
      <c r="AO9" s="6">
        <f t="shared" si="11"/>
        <v>5018.151515443357</v>
      </c>
      <c r="AP9" s="6">
        <f t="shared" si="11"/>
        <v>3111.2539395748818</v>
      </c>
      <c r="AQ9" s="6">
        <f t="shared" si="11"/>
        <v>5018.151515443357</v>
      </c>
      <c r="AR9" s="6">
        <f t="shared" si="12"/>
        <v>3161.435454729315</v>
      </c>
      <c r="AS9" s="18">
        <f t="shared" si="12"/>
        <v>7096.737931183097</v>
      </c>
      <c r="AT9" s="18">
        <f t="shared" si="12"/>
        <v>4470.944896645351</v>
      </c>
      <c r="AU9" s="6">
        <f t="shared" si="13"/>
        <v>10036.303030886715</v>
      </c>
      <c r="AV9" s="6">
        <f t="shared" si="13"/>
        <v>6222.5078791497635</v>
      </c>
    </row>
    <row r="10" spans="1:48" ht="15">
      <c r="A10" s="24" t="s">
        <v>13</v>
      </c>
      <c r="B10" s="5">
        <f>SQRT((11/28+14.48)/14.73)</f>
        <v>1.0048374895327492</v>
      </c>
      <c r="C10" s="6">
        <f t="shared" si="14"/>
        <v>276.33030962150605</v>
      </c>
      <c r="D10" s="6">
        <f t="shared" si="15"/>
        <v>175.84656066823112</v>
      </c>
      <c r="E10" s="6">
        <f t="shared" si="0"/>
        <v>251.20937238318731</v>
      </c>
      <c r="F10" s="6">
        <f t="shared" si="16"/>
        <v>175.84656066823112</v>
      </c>
      <c r="G10" s="6">
        <f t="shared" si="17"/>
        <v>417.0075581560909</v>
      </c>
      <c r="H10" s="6">
        <f t="shared" si="1"/>
        <v>261.2577472785148</v>
      </c>
      <c r="I10" s="18">
        <f t="shared" si="1"/>
        <v>589.737744356431</v>
      </c>
      <c r="J10" s="18">
        <f t="shared" si="1"/>
        <v>369.4742494763182</v>
      </c>
      <c r="K10" s="6">
        <f t="shared" si="18"/>
        <v>904.3537405794743</v>
      </c>
      <c r="L10" s="6">
        <f t="shared" si="2"/>
        <v>522.5154945570296</v>
      </c>
      <c r="M10" s="6">
        <f t="shared" si="2"/>
        <v>753.628117149562</v>
      </c>
      <c r="N10" s="6">
        <f t="shared" si="3"/>
        <v>474.785713804224</v>
      </c>
      <c r="O10" s="18">
        <f t="shared" si="3"/>
        <v>1065.7911042586104</v>
      </c>
      <c r="P10" s="18">
        <f t="shared" si="3"/>
        <v>672.1589230857635</v>
      </c>
      <c r="Q10" s="6">
        <f t="shared" si="19"/>
        <v>1607.7399832523988</v>
      </c>
      <c r="R10" s="6">
        <f t="shared" si="19"/>
        <v>994.7891146374217</v>
      </c>
      <c r="S10" s="6">
        <f t="shared" si="19"/>
        <v>803.8699916261994</v>
      </c>
      <c r="T10" s="6">
        <f t="shared" si="4"/>
        <v>506.4380947245056</v>
      </c>
      <c r="U10" s="18">
        <f t="shared" si="4"/>
        <v>1136.8438445425174</v>
      </c>
      <c r="V10" s="18">
        <f t="shared" si="4"/>
        <v>716.2116220617861</v>
      </c>
      <c r="W10" s="6">
        <f t="shared" si="5"/>
        <v>1607.7399832523988</v>
      </c>
      <c r="X10" s="6">
        <f t="shared" si="5"/>
        <v>994.7891146374217</v>
      </c>
      <c r="Y10" s="6">
        <f t="shared" si="5"/>
        <v>1004.8374895327493</v>
      </c>
      <c r="Z10" s="6">
        <f t="shared" si="6"/>
        <v>633.047618405632</v>
      </c>
      <c r="AA10" s="18">
        <f t="shared" si="6"/>
        <v>1421.054805678147</v>
      </c>
      <c r="AB10" s="18">
        <f t="shared" si="6"/>
        <v>895.2645275772326</v>
      </c>
      <c r="AC10" s="6">
        <f t="shared" si="7"/>
        <v>2210.6424769720484</v>
      </c>
      <c r="AD10" s="6">
        <f t="shared" si="7"/>
        <v>1366.5789857645389</v>
      </c>
      <c r="AE10" s="6">
        <f t="shared" si="7"/>
        <v>1457.0143598224863</v>
      </c>
      <c r="AF10" s="6">
        <f t="shared" si="8"/>
        <v>917.9190466881664</v>
      </c>
      <c r="AG10" s="18">
        <f t="shared" si="8"/>
        <v>2060.5294682333133</v>
      </c>
      <c r="AH10" s="18">
        <f t="shared" si="8"/>
        <v>1298.1335649869873</v>
      </c>
      <c r="AI10" s="6">
        <f t="shared" si="9"/>
        <v>3014.512468598248</v>
      </c>
      <c r="AJ10" s="6">
        <f t="shared" si="9"/>
        <v>1868.9977305309135</v>
      </c>
      <c r="AK10" s="6">
        <f t="shared" si="9"/>
        <v>2512.093723831873</v>
      </c>
      <c r="AL10" s="6">
        <f t="shared" si="10"/>
        <v>1177.4685702344755</v>
      </c>
      <c r="AM10" s="18">
        <f t="shared" si="10"/>
        <v>3552.6370141953676</v>
      </c>
      <c r="AN10" s="18">
        <f t="shared" si="10"/>
        <v>1665.1920212936525</v>
      </c>
      <c r="AO10" s="6">
        <f t="shared" si="11"/>
        <v>5024.187447663746</v>
      </c>
      <c r="AP10" s="6">
        <f t="shared" si="11"/>
        <v>3114.9962175515225</v>
      </c>
      <c r="AQ10" s="6">
        <f t="shared" si="11"/>
        <v>5024.187447663746</v>
      </c>
      <c r="AR10" s="6">
        <f t="shared" si="12"/>
        <v>3165.23809202816</v>
      </c>
      <c r="AS10" s="18">
        <f t="shared" si="12"/>
        <v>7105.274028390735</v>
      </c>
      <c r="AT10" s="18">
        <f t="shared" si="12"/>
        <v>4476.322637886163</v>
      </c>
      <c r="AU10" s="6">
        <f t="shared" si="13"/>
        <v>10048.374895327492</v>
      </c>
      <c r="AV10" s="6">
        <f t="shared" si="13"/>
        <v>6229.992435103045</v>
      </c>
    </row>
    <row r="11" spans="1:48" ht="15">
      <c r="A11" s="24" t="s">
        <v>14</v>
      </c>
      <c r="B11" s="5">
        <f>SQRT((12/28+14.48)/14.73)</f>
        <v>1.0060432274326474</v>
      </c>
      <c r="C11" s="6">
        <f t="shared" si="14"/>
        <v>276.661887543978</v>
      </c>
      <c r="D11" s="6">
        <f t="shared" si="15"/>
        <v>176.0575648007133</v>
      </c>
      <c r="E11" s="6">
        <f t="shared" si="0"/>
        <v>251.51080685816186</v>
      </c>
      <c r="F11" s="6">
        <f t="shared" si="16"/>
        <v>176.0575648007133</v>
      </c>
      <c r="G11" s="6">
        <f t="shared" si="17"/>
        <v>417.50793938454865</v>
      </c>
      <c r="H11" s="6">
        <f t="shared" si="1"/>
        <v>261.5712391324883</v>
      </c>
      <c r="I11" s="18">
        <f t="shared" si="1"/>
        <v>590.4453902760729</v>
      </c>
      <c r="J11" s="18">
        <f t="shared" si="1"/>
        <v>369.91759390790105</v>
      </c>
      <c r="K11" s="6">
        <f t="shared" si="18"/>
        <v>905.4389046893826</v>
      </c>
      <c r="L11" s="6">
        <f t="shared" si="2"/>
        <v>523.1424782649766</v>
      </c>
      <c r="M11" s="6">
        <f t="shared" si="2"/>
        <v>754.5324205744855</v>
      </c>
      <c r="N11" s="6">
        <f t="shared" si="3"/>
        <v>475.3554249619259</v>
      </c>
      <c r="O11" s="18">
        <f t="shared" si="3"/>
        <v>1067.0699824266378</v>
      </c>
      <c r="P11" s="18">
        <f t="shared" si="3"/>
        <v>672.9654689170662</v>
      </c>
      <c r="Q11" s="6">
        <f t="shared" si="19"/>
        <v>1609.669163892236</v>
      </c>
      <c r="R11" s="6">
        <f t="shared" si="19"/>
        <v>995.982795158321</v>
      </c>
      <c r="S11" s="6">
        <f t="shared" si="19"/>
        <v>804.834581946118</v>
      </c>
      <c r="T11" s="6">
        <f t="shared" si="4"/>
        <v>507.0457866260543</v>
      </c>
      <c r="U11" s="18">
        <f t="shared" si="4"/>
        <v>1138.20798125508</v>
      </c>
      <c r="V11" s="18">
        <f t="shared" si="4"/>
        <v>717.0710281907005</v>
      </c>
      <c r="W11" s="6">
        <f t="shared" si="5"/>
        <v>1609.669163892236</v>
      </c>
      <c r="X11" s="6">
        <f t="shared" si="5"/>
        <v>995.982795158321</v>
      </c>
      <c r="Y11" s="6">
        <f t="shared" si="5"/>
        <v>1006.0432274326474</v>
      </c>
      <c r="Z11" s="6">
        <f t="shared" si="6"/>
        <v>633.8072332825678</v>
      </c>
      <c r="AA11" s="18">
        <f t="shared" si="6"/>
        <v>1422.75997656885</v>
      </c>
      <c r="AB11" s="18">
        <f t="shared" si="6"/>
        <v>896.3387852383756</v>
      </c>
      <c r="AC11" s="6">
        <f t="shared" si="7"/>
        <v>2213.295100351824</v>
      </c>
      <c r="AD11" s="6">
        <f t="shared" si="7"/>
        <v>1368.2187893084006</v>
      </c>
      <c r="AE11" s="6">
        <f t="shared" si="7"/>
        <v>1458.7626797773387</v>
      </c>
      <c r="AF11" s="6">
        <f t="shared" si="8"/>
        <v>919.0204882597234</v>
      </c>
      <c r="AG11" s="18">
        <f t="shared" si="8"/>
        <v>2063.001966024833</v>
      </c>
      <c r="AH11" s="18">
        <f t="shared" si="8"/>
        <v>1299.6912385956448</v>
      </c>
      <c r="AI11" s="6">
        <f t="shared" si="9"/>
        <v>3018.129682297942</v>
      </c>
      <c r="AJ11" s="6">
        <f t="shared" si="9"/>
        <v>1871.2404030247242</v>
      </c>
      <c r="AK11" s="6">
        <f t="shared" si="9"/>
        <v>2515.1080685816187</v>
      </c>
      <c r="AL11" s="6">
        <f t="shared" si="10"/>
        <v>1178.881453905576</v>
      </c>
      <c r="AM11" s="18">
        <f t="shared" si="10"/>
        <v>3556.8999414221257</v>
      </c>
      <c r="AN11" s="18">
        <f t="shared" si="10"/>
        <v>1667.1901405433787</v>
      </c>
      <c r="AO11" s="6">
        <f t="shared" si="11"/>
        <v>5030.216137163237</v>
      </c>
      <c r="AP11" s="6">
        <f t="shared" si="11"/>
        <v>3118.7340050412067</v>
      </c>
      <c r="AQ11" s="6">
        <f t="shared" si="11"/>
        <v>5030.216137163237</v>
      </c>
      <c r="AR11" s="6">
        <f t="shared" si="12"/>
        <v>3169.0361664128395</v>
      </c>
      <c r="AS11" s="18">
        <f t="shared" si="12"/>
        <v>7113.799882844251</v>
      </c>
      <c r="AT11" s="18">
        <f t="shared" si="12"/>
        <v>4481.693926191878</v>
      </c>
      <c r="AU11" s="6">
        <f t="shared" si="13"/>
        <v>10060.432274326475</v>
      </c>
      <c r="AV11" s="6">
        <f t="shared" si="13"/>
        <v>6237.4680100824135</v>
      </c>
    </row>
    <row r="12" spans="1:48" ht="15">
      <c r="A12" s="24" t="s">
        <v>15</v>
      </c>
      <c r="B12" s="5">
        <f>SQRT((13/28+14.48)/14.73)</f>
        <v>1.0072475219903583</v>
      </c>
      <c r="C12" s="6">
        <f t="shared" si="14"/>
        <v>276.9930685473485</v>
      </c>
      <c r="D12" s="6">
        <f t="shared" si="15"/>
        <v>176.2683163483127</v>
      </c>
      <c r="E12" s="6">
        <f t="shared" si="0"/>
        <v>251.81188049758956</v>
      </c>
      <c r="F12" s="6">
        <f t="shared" si="16"/>
        <v>176.2683163483127</v>
      </c>
      <c r="G12" s="6">
        <f t="shared" si="17"/>
        <v>418.00772162599867</v>
      </c>
      <c r="H12" s="6">
        <f t="shared" si="1"/>
        <v>261.8843557174932</v>
      </c>
      <c r="I12" s="18">
        <f t="shared" si="1"/>
        <v>591.1521891001647</v>
      </c>
      <c r="J12" s="18">
        <f t="shared" si="1"/>
        <v>370.3604076290188</v>
      </c>
      <c r="K12" s="6">
        <f t="shared" si="18"/>
        <v>906.5227697913225</v>
      </c>
      <c r="L12" s="6">
        <f t="shared" si="2"/>
        <v>523.7687114349864</v>
      </c>
      <c r="M12" s="6">
        <f t="shared" si="2"/>
        <v>755.4356414927687</v>
      </c>
      <c r="N12" s="6">
        <f t="shared" si="3"/>
        <v>475.9244541404443</v>
      </c>
      <c r="O12" s="18">
        <f t="shared" si="3"/>
        <v>1068.3473296990928</v>
      </c>
      <c r="P12" s="18">
        <f t="shared" si="3"/>
        <v>673.7710492635612</v>
      </c>
      <c r="Q12" s="6">
        <f t="shared" si="19"/>
        <v>1611.5960351845733</v>
      </c>
      <c r="R12" s="6">
        <f t="shared" si="19"/>
        <v>997.1750467704547</v>
      </c>
      <c r="S12" s="6">
        <f t="shared" si="19"/>
        <v>805.7980175922867</v>
      </c>
      <c r="T12" s="6">
        <f t="shared" si="4"/>
        <v>507.6527510831406</v>
      </c>
      <c r="U12" s="18">
        <f t="shared" si="4"/>
        <v>1139.5704850123657</v>
      </c>
      <c r="V12" s="18">
        <f t="shared" si="4"/>
        <v>717.9294055577903</v>
      </c>
      <c r="W12" s="6">
        <f t="shared" si="5"/>
        <v>1611.5960351845733</v>
      </c>
      <c r="X12" s="6">
        <f t="shared" si="5"/>
        <v>997.1750467704547</v>
      </c>
      <c r="Y12" s="6">
        <f t="shared" si="5"/>
        <v>1007.2475219903582</v>
      </c>
      <c r="Z12" s="6">
        <f t="shared" si="6"/>
        <v>634.5659388539257</v>
      </c>
      <c r="AA12" s="18">
        <f t="shared" si="6"/>
        <v>1424.463106265457</v>
      </c>
      <c r="AB12" s="18">
        <f t="shared" si="6"/>
        <v>897.4117569472379</v>
      </c>
      <c r="AC12" s="6">
        <f t="shared" si="7"/>
        <v>2215.944548378788</v>
      </c>
      <c r="AD12" s="6">
        <f t="shared" si="7"/>
        <v>1369.8566299068873</v>
      </c>
      <c r="AE12" s="6">
        <f t="shared" si="7"/>
        <v>1460.5089068860195</v>
      </c>
      <c r="AF12" s="6">
        <f t="shared" si="8"/>
        <v>920.1206113381922</v>
      </c>
      <c r="AG12" s="18">
        <f t="shared" si="8"/>
        <v>2065.471504084913</v>
      </c>
      <c r="AH12" s="18">
        <f t="shared" si="8"/>
        <v>1301.2470475734951</v>
      </c>
      <c r="AI12" s="6">
        <f t="shared" si="9"/>
        <v>3021.742565971075</v>
      </c>
      <c r="AJ12" s="6">
        <f t="shared" si="9"/>
        <v>1873.4803909020663</v>
      </c>
      <c r="AK12" s="6">
        <f t="shared" si="9"/>
        <v>2518.1188049758957</v>
      </c>
      <c r="AL12" s="6">
        <f t="shared" si="10"/>
        <v>1180.2926462683017</v>
      </c>
      <c r="AM12" s="18">
        <f t="shared" si="10"/>
        <v>3561.1577656636427</v>
      </c>
      <c r="AN12" s="18">
        <f t="shared" si="10"/>
        <v>1669.1858679218624</v>
      </c>
      <c r="AO12" s="6">
        <f t="shared" si="11"/>
        <v>5036.2376099517915</v>
      </c>
      <c r="AP12" s="6">
        <f t="shared" si="11"/>
        <v>3122.4673181701105</v>
      </c>
      <c r="AQ12" s="6">
        <f t="shared" si="11"/>
        <v>5036.2376099517915</v>
      </c>
      <c r="AR12" s="6">
        <f t="shared" si="12"/>
        <v>3172.8296942696284</v>
      </c>
      <c r="AS12" s="18">
        <f t="shared" si="12"/>
        <v>7122.3155313272855</v>
      </c>
      <c r="AT12" s="18">
        <f t="shared" si="12"/>
        <v>4487.058784736189</v>
      </c>
      <c r="AU12" s="6">
        <f t="shared" si="13"/>
        <v>10072.475219903583</v>
      </c>
      <c r="AV12" s="6">
        <f t="shared" si="13"/>
        <v>6244.934636340221</v>
      </c>
    </row>
    <row r="13" spans="1:48" ht="15">
      <c r="A13" s="24" t="s">
        <v>16</v>
      </c>
      <c r="B13" s="5">
        <f>SQRT((14/28+14.48)/14.73)</f>
        <v>1.0084503783768128</v>
      </c>
      <c r="C13" s="6">
        <f t="shared" si="14"/>
        <v>277.3238540536235</v>
      </c>
      <c r="D13" s="6">
        <f t="shared" si="15"/>
        <v>176.47881621594226</v>
      </c>
      <c r="E13" s="6">
        <f t="shared" si="0"/>
        <v>252.11259459420322</v>
      </c>
      <c r="F13" s="6">
        <f t="shared" si="16"/>
        <v>176.47881621594226</v>
      </c>
      <c r="G13" s="6">
        <f t="shared" si="17"/>
        <v>418.50690702637735</v>
      </c>
      <c r="H13" s="6">
        <f t="shared" si="1"/>
        <v>262.1970983779713</v>
      </c>
      <c r="I13" s="18">
        <f t="shared" si="1"/>
        <v>591.8581438635189</v>
      </c>
      <c r="J13" s="18">
        <f t="shared" si="1"/>
        <v>370.8026925409997</v>
      </c>
      <c r="K13" s="6">
        <f t="shared" si="18"/>
        <v>907.6053405391316</v>
      </c>
      <c r="L13" s="6">
        <f t="shared" si="2"/>
        <v>524.3941967559426</v>
      </c>
      <c r="M13" s="6">
        <f t="shared" si="2"/>
        <v>756.3377837826097</v>
      </c>
      <c r="N13" s="6">
        <f t="shared" si="3"/>
        <v>476.49280378304405</v>
      </c>
      <c r="O13" s="18">
        <f t="shared" si="3"/>
        <v>1069.6231515605762</v>
      </c>
      <c r="P13" s="18">
        <f t="shared" si="3"/>
        <v>674.5756675842034</v>
      </c>
      <c r="Q13" s="6">
        <f t="shared" si="19"/>
        <v>1613.5206054029006</v>
      </c>
      <c r="R13" s="6">
        <f t="shared" si="19"/>
        <v>998.3658745930447</v>
      </c>
      <c r="S13" s="6">
        <f t="shared" si="19"/>
        <v>806.7603027014503</v>
      </c>
      <c r="T13" s="6">
        <f t="shared" si="4"/>
        <v>508.25899070191366</v>
      </c>
      <c r="U13" s="18">
        <f t="shared" si="4"/>
        <v>1140.9313616646145</v>
      </c>
      <c r="V13" s="18">
        <f t="shared" si="4"/>
        <v>718.7867578487072</v>
      </c>
      <c r="W13" s="6">
        <f t="shared" si="5"/>
        <v>1613.5206054029006</v>
      </c>
      <c r="X13" s="6">
        <f t="shared" si="5"/>
        <v>998.3658745930447</v>
      </c>
      <c r="Y13" s="6">
        <f t="shared" si="5"/>
        <v>1008.4503783768129</v>
      </c>
      <c r="Z13" s="6">
        <f t="shared" si="6"/>
        <v>635.323738377392</v>
      </c>
      <c r="AA13" s="18">
        <f t="shared" si="6"/>
        <v>1426.164202080768</v>
      </c>
      <c r="AB13" s="18">
        <f t="shared" si="6"/>
        <v>898.4834473108839</v>
      </c>
      <c r="AC13" s="6">
        <f t="shared" si="7"/>
        <v>2218.590832428988</v>
      </c>
      <c r="AD13" s="6">
        <f t="shared" si="7"/>
        <v>1371.4925145924656</v>
      </c>
      <c r="AE13" s="6">
        <f t="shared" si="7"/>
        <v>1462.2530486463786</v>
      </c>
      <c r="AF13" s="6">
        <f t="shared" si="8"/>
        <v>921.2194206472185</v>
      </c>
      <c r="AG13" s="18">
        <f t="shared" si="8"/>
        <v>2067.938093017114</v>
      </c>
      <c r="AH13" s="18">
        <f t="shared" si="8"/>
        <v>1302.8009986007817</v>
      </c>
      <c r="AI13" s="6">
        <f t="shared" si="9"/>
        <v>3025.3511351304387</v>
      </c>
      <c r="AJ13" s="6">
        <f t="shared" si="9"/>
        <v>1875.717703780872</v>
      </c>
      <c r="AK13" s="6">
        <f t="shared" si="9"/>
        <v>2521.125945942032</v>
      </c>
      <c r="AL13" s="6">
        <f t="shared" si="10"/>
        <v>1181.7021533819493</v>
      </c>
      <c r="AM13" s="18">
        <f t="shared" si="10"/>
        <v>3565.410505201921</v>
      </c>
      <c r="AN13" s="18">
        <f t="shared" si="10"/>
        <v>1671.179211998244</v>
      </c>
      <c r="AO13" s="6">
        <f t="shared" si="11"/>
        <v>5042.251891884064</v>
      </c>
      <c r="AP13" s="6">
        <f t="shared" si="11"/>
        <v>3126.1961729681198</v>
      </c>
      <c r="AQ13" s="6">
        <f t="shared" si="11"/>
        <v>5042.251891884064</v>
      </c>
      <c r="AR13" s="6">
        <f t="shared" si="12"/>
        <v>3176.6186918869603</v>
      </c>
      <c r="AS13" s="18">
        <f t="shared" si="12"/>
        <v>7130.821010403842</v>
      </c>
      <c r="AT13" s="18">
        <f t="shared" si="12"/>
        <v>4492.41723655442</v>
      </c>
      <c r="AU13" s="6">
        <f t="shared" si="13"/>
        <v>10084.503783768128</v>
      </c>
      <c r="AV13" s="6">
        <f t="shared" si="13"/>
        <v>6252.3923459362395</v>
      </c>
    </row>
    <row r="14" spans="1:48" ht="15">
      <c r="A14" s="24" t="s">
        <v>17</v>
      </c>
      <c r="B14" s="5">
        <f>SQRT((15/28+14.48)/14.73)</f>
        <v>1.0096518017321399</v>
      </c>
      <c r="C14" s="6">
        <f t="shared" si="14"/>
        <v>277.6542454763385</v>
      </c>
      <c r="D14" s="6">
        <f t="shared" si="15"/>
        <v>176.68906530312447</v>
      </c>
      <c r="E14" s="6">
        <f t="shared" si="0"/>
        <v>252.41295043303498</v>
      </c>
      <c r="F14" s="6">
        <f t="shared" si="16"/>
        <v>176.68906530312447</v>
      </c>
      <c r="G14" s="6">
        <f t="shared" si="17"/>
        <v>419.00549771883806</v>
      </c>
      <c r="H14" s="6">
        <f t="shared" si="1"/>
        <v>262.50946845035634</v>
      </c>
      <c r="I14" s="18">
        <f t="shared" si="1"/>
        <v>592.5632575828698</v>
      </c>
      <c r="J14" s="18">
        <f t="shared" si="1"/>
        <v>371.2444505338461</v>
      </c>
      <c r="K14" s="6">
        <f t="shared" si="18"/>
        <v>908.6866215589258</v>
      </c>
      <c r="L14" s="6">
        <f t="shared" si="2"/>
        <v>525.0189369007127</v>
      </c>
      <c r="M14" s="6">
        <f t="shared" si="2"/>
        <v>757.2388512991049</v>
      </c>
      <c r="N14" s="6">
        <f t="shared" si="3"/>
        <v>477.0604763184361</v>
      </c>
      <c r="O14" s="18">
        <f t="shared" si="3"/>
        <v>1070.8974534630177</v>
      </c>
      <c r="P14" s="18">
        <f t="shared" si="3"/>
        <v>675.3793273173432</v>
      </c>
      <c r="Q14" s="6">
        <f t="shared" si="19"/>
        <v>1615.4428827714237</v>
      </c>
      <c r="R14" s="6">
        <f t="shared" si="19"/>
        <v>999.5552837148184</v>
      </c>
      <c r="S14" s="6">
        <f t="shared" si="19"/>
        <v>807.7214413857118</v>
      </c>
      <c r="T14" s="6">
        <f t="shared" si="4"/>
        <v>508.8645080729985</v>
      </c>
      <c r="U14" s="18">
        <f t="shared" si="4"/>
        <v>1142.2906170272188</v>
      </c>
      <c r="V14" s="18">
        <f t="shared" si="4"/>
        <v>719.6430887271479</v>
      </c>
      <c r="W14" s="6">
        <f t="shared" si="5"/>
        <v>1615.4428827714237</v>
      </c>
      <c r="X14" s="6">
        <f t="shared" si="5"/>
        <v>999.5552837148184</v>
      </c>
      <c r="Y14" s="6">
        <f t="shared" si="5"/>
        <v>1009.6518017321399</v>
      </c>
      <c r="Z14" s="6">
        <f t="shared" si="6"/>
        <v>636.0806350912482</v>
      </c>
      <c r="AA14" s="18">
        <f t="shared" si="6"/>
        <v>1427.8632712840235</v>
      </c>
      <c r="AB14" s="18">
        <f t="shared" si="6"/>
        <v>899.5538609089348</v>
      </c>
      <c r="AC14" s="6">
        <f t="shared" si="7"/>
        <v>2221.233963810708</v>
      </c>
      <c r="AD14" s="6">
        <f t="shared" si="7"/>
        <v>1373.1264503557102</v>
      </c>
      <c r="AE14" s="6">
        <f t="shared" si="7"/>
        <v>1463.9951125116029</v>
      </c>
      <c r="AF14" s="6">
        <f t="shared" si="8"/>
        <v>922.3169208823098</v>
      </c>
      <c r="AG14" s="18">
        <f t="shared" si="8"/>
        <v>2070.401743361834</v>
      </c>
      <c r="AH14" s="18">
        <f t="shared" si="8"/>
        <v>1304.3530983179555</v>
      </c>
      <c r="AI14" s="6">
        <f t="shared" si="9"/>
        <v>3028.9554051964196</v>
      </c>
      <c r="AJ14" s="6">
        <f t="shared" si="9"/>
        <v>1877.9523512217802</v>
      </c>
      <c r="AK14" s="6">
        <f t="shared" si="9"/>
        <v>2524.12950433035</v>
      </c>
      <c r="AL14" s="6">
        <f t="shared" si="10"/>
        <v>1183.1099812697214</v>
      </c>
      <c r="AM14" s="18">
        <f t="shared" si="10"/>
        <v>3569.658178210059</v>
      </c>
      <c r="AN14" s="18">
        <f t="shared" si="10"/>
        <v>1673.1701812906185</v>
      </c>
      <c r="AO14" s="6">
        <f t="shared" si="11"/>
        <v>5048.2590086607</v>
      </c>
      <c r="AP14" s="6">
        <f t="shared" si="11"/>
        <v>3129.9205853696335</v>
      </c>
      <c r="AQ14" s="6">
        <f t="shared" si="11"/>
        <v>5048.2590086607</v>
      </c>
      <c r="AR14" s="6">
        <f t="shared" si="12"/>
        <v>3180.4031754562407</v>
      </c>
      <c r="AS14" s="18">
        <f t="shared" si="12"/>
        <v>7139.316356420118</v>
      </c>
      <c r="AT14" s="18">
        <f t="shared" si="12"/>
        <v>4497.769304544674</v>
      </c>
      <c r="AU14" s="6">
        <f t="shared" si="13"/>
        <v>10096.5180173214</v>
      </c>
      <c r="AV14" s="6">
        <f t="shared" si="13"/>
        <v>6259.841170739267</v>
      </c>
    </row>
    <row r="15" spans="1:48" ht="15">
      <c r="A15" s="24" t="s">
        <v>18</v>
      </c>
      <c r="B15" s="5">
        <f>SQRT((16/28+14.48)/14.73)</f>
        <v>1.0108517971659228</v>
      </c>
      <c r="C15" s="6">
        <f t="shared" si="14"/>
        <v>277.98424422062874</v>
      </c>
      <c r="D15" s="6">
        <f t="shared" si="15"/>
        <v>176.8990645040365</v>
      </c>
      <c r="E15" s="6">
        <f t="shared" si="0"/>
        <v>252.7129492914807</v>
      </c>
      <c r="F15" s="6">
        <f t="shared" si="16"/>
        <v>176.8990645040365</v>
      </c>
      <c r="G15" s="6">
        <f t="shared" si="17"/>
        <v>419.503495823858</v>
      </c>
      <c r="H15" s="6">
        <f t="shared" si="1"/>
        <v>262.82146726313994</v>
      </c>
      <c r="I15" s="18">
        <f t="shared" si="1"/>
        <v>593.267533257025</v>
      </c>
      <c r="J15" s="18">
        <f t="shared" si="1"/>
        <v>371.6856834863289</v>
      </c>
      <c r="K15" s="6">
        <f t="shared" si="18"/>
        <v>909.7666174493305</v>
      </c>
      <c r="L15" s="6">
        <f t="shared" si="2"/>
        <v>525.6429345262799</v>
      </c>
      <c r="M15" s="6">
        <f t="shared" si="2"/>
        <v>758.138847874442</v>
      </c>
      <c r="N15" s="6">
        <f t="shared" si="3"/>
        <v>477.6274741608985</v>
      </c>
      <c r="O15" s="18">
        <f t="shared" si="3"/>
        <v>1072.170240825949</v>
      </c>
      <c r="P15" s="18">
        <f t="shared" si="3"/>
        <v>676.1820318808984</v>
      </c>
      <c r="Q15" s="6">
        <f t="shared" si="19"/>
        <v>1617.3628754654765</v>
      </c>
      <c r="R15" s="6">
        <f t="shared" si="19"/>
        <v>1000.7432791942636</v>
      </c>
      <c r="S15" s="6">
        <f t="shared" si="19"/>
        <v>808.6814377327382</v>
      </c>
      <c r="T15" s="6">
        <f t="shared" si="4"/>
        <v>509.4693057716251</v>
      </c>
      <c r="U15" s="18">
        <f t="shared" si="4"/>
        <v>1143.648256881012</v>
      </c>
      <c r="V15" s="18">
        <f t="shared" si="4"/>
        <v>720.4984018350376</v>
      </c>
      <c r="W15" s="6">
        <f t="shared" si="5"/>
        <v>1617.3628754654765</v>
      </c>
      <c r="X15" s="6">
        <f t="shared" si="5"/>
        <v>1000.7432791942636</v>
      </c>
      <c r="Y15" s="6">
        <f t="shared" si="5"/>
        <v>1010.8517971659228</v>
      </c>
      <c r="Z15" s="6">
        <f t="shared" si="6"/>
        <v>636.8366322145314</v>
      </c>
      <c r="AA15" s="18">
        <f t="shared" si="6"/>
        <v>1429.560321101265</v>
      </c>
      <c r="AB15" s="18">
        <f t="shared" si="6"/>
        <v>900.623002293797</v>
      </c>
      <c r="AC15" s="6">
        <f t="shared" si="7"/>
        <v>2223.87395376503</v>
      </c>
      <c r="AD15" s="6">
        <f t="shared" si="7"/>
        <v>1374.758444145655</v>
      </c>
      <c r="AE15" s="6">
        <f t="shared" si="7"/>
        <v>1465.735105890588</v>
      </c>
      <c r="AF15" s="6">
        <f t="shared" si="8"/>
        <v>923.4131167110704</v>
      </c>
      <c r="AG15" s="18">
        <f t="shared" si="8"/>
        <v>2072.862465596834</v>
      </c>
      <c r="AH15" s="18">
        <f t="shared" si="8"/>
        <v>1305.9033533260056</v>
      </c>
      <c r="AI15" s="6">
        <f t="shared" si="9"/>
        <v>3032.555391497768</v>
      </c>
      <c r="AJ15" s="6">
        <f t="shared" si="9"/>
        <v>1880.1843427286165</v>
      </c>
      <c r="AK15" s="6">
        <f t="shared" si="9"/>
        <v>2527.129492914807</v>
      </c>
      <c r="AL15" s="6">
        <f t="shared" si="10"/>
        <v>1184.5161359190283</v>
      </c>
      <c r="AM15" s="18">
        <f t="shared" si="10"/>
        <v>3573.9008027531627</v>
      </c>
      <c r="AN15" s="18">
        <f t="shared" si="10"/>
        <v>1675.1587842664624</v>
      </c>
      <c r="AO15" s="6">
        <f t="shared" si="11"/>
        <v>5054.258985829614</v>
      </c>
      <c r="AP15" s="6">
        <f t="shared" si="11"/>
        <v>3133.6405712143605</v>
      </c>
      <c r="AQ15" s="6">
        <f t="shared" si="11"/>
        <v>5054.258985829614</v>
      </c>
      <c r="AR15" s="6">
        <f t="shared" si="12"/>
        <v>3184.1831610726567</v>
      </c>
      <c r="AS15" s="18">
        <f t="shared" si="12"/>
        <v>7147.801605506325</v>
      </c>
      <c r="AT15" s="18">
        <f t="shared" si="12"/>
        <v>4503.115011468984</v>
      </c>
      <c r="AU15" s="6">
        <f t="shared" si="13"/>
        <v>10108.517971659228</v>
      </c>
      <c r="AV15" s="6">
        <f t="shared" si="13"/>
        <v>6267.281142428721</v>
      </c>
    </row>
    <row r="16" spans="1:48" ht="15">
      <c r="A16" s="24" t="s">
        <v>19</v>
      </c>
      <c r="B16" s="5">
        <f>SQRT((17/28+14.48)/14.73)</f>
        <v>1.012050369757452</v>
      </c>
      <c r="C16" s="6">
        <f t="shared" si="14"/>
        <v>278.31385168329933</v>
      </c>
      <c r="D16" s="6">
        <f t="shared" si="15"/>
        <v>177.10881470755413</v>
      </c>
      <c r="E16" s="6">
        <f t="shared" si="0"/>
        <v>253.01259243936303</v>
      </c>
      <c r="F16" s="6">
        <f t="shared" si="16"/>
        <v>177.10881470755413</v>
      </c>
      <c r="G16" s="6">
        <f t="shared" si="17"/>
        <v>420.0009034493426</v>
      </c>
      <c r="H16" s="6">
        <f t="shared" si="1"/>
        <v>263.1330961369375</v>
      </c>
      <c r="I16" s="18">
        <f t="shared" si="1"/>
        <v>593.9709738670133</v>
      </c>
      <c r="J16" s="18">
        <f t="shared" si="1"/>
        <v>372.1263932660806</v>
      </c>
      <c r="K16" s="6">
        <f t="shared" si="18"/>
        <v>910.8453327817069</v>
      </c>
      <c r="L16" s="6">
        <f t="shared" si="2"/>
        <v>526.266192273875</v>
      </c>
      <c r="M16" s="6">
        <f t="shared" si="2"/>
        <v>759.0377773180891</v>
      </c>
      <c r="N16" s="6">
        <f t="shared" si="3"/>
        <v>478.1937997103961</v>
      </c>
      <c r="O16" s="18">
        <f t="shared" si="3"/>
        <v>1073.441519036771</v>
      </c>
      <c r="P16" s="18">
        <f t="shared" si="3"/>
        <v>676.9837846725235</v>
      </c>
      <c r="Q16" s="6">
        <f t="shared" si="19"/>
        <v>1619.2805916119235</v>
      </c>
      <c r="R16" s="6">
        <f t="shared" si="19"/>
        <v>1001.9298660598776</v>
      </c>
      <c r="S16" s="6">
        <f t="shared" si="19"/>
        <v>809.6402958059617</v>
      </c>
      <c r="T16" s="6">
        <f t="shared" si="4"/>
        <v>510.07338635775585</v>
      </c>
      <c r="U16" s="18">
        <f t="shared" si="4"/>
        <v>1145.0042869725555</v>
      </c>
      <c r="V16" s="18">
        <f t="shared" si="4"/>
        <v>721.35270079271</v>
      </c>
      <c r="W16" s="6">
        <f t="shared" si="5"/>
        <v>1619.2805916119235</v>
      </c>
      <c r="X16" s="6">
        <f t="shared" si="5"/>
        <v>1001.9298660598776</v>
      </c>
      <c r="Y16" s="6">
        <f t="shared" si="5"/>
        <v>1012.0503697574521</v>
      </c>
      <c r="Z16" s="6">
        <f t="shared" si="6"/>
        <v>637.5917329471948</v>
      </c>
      <c r="AA16" s="18">
        <f t="shared" si="6"/>
        <v>1431.2553587156945</v>
      </c>
      <c r="AB16" s="18">
        <f t="shared" si="6"/>
        <v>901.6908759908875</v>
      </c>
      <c r="AC16" s="6">
        <f t="shared" si="7"/>
        <v>2226.5108134663947</v>
      </c>
      <c r="AD16" s="6">
        <f t="shared" si="7"/>
        <v>1376.388502870135</v>
      </c>
      <c r="AE16" s="6">
        <f t="shared" si="7"/>
        <v>1467.4730361483055</v>
      </c>
      <c r="AF16" s="6">
        <f t="shared" si="8"/>
        <v>924.5080127734325</v>
      </c>
      <c r="AG16" s="18">
        <f t="shared" si="8"/>
        <v>2075.3202701377572</v>
      </c>
      <c r="AH16" s="18">
        <f t="shared" si="8"/>
        <v>1307.451770186787</v>
      </c>
      <c r="AI16" s="6">
        <f t="shared" si="9"/>
        <v>3036.1511092723563</v>
      </c>
      <c r="AJ16" s="6">
        <f t="shared" si="9"/>
        <v>1882.4136877488609</v>
      </c>
      <c r="AK16" s="6">
        <f t="shared" si="9"/>
        <v>2530.12592439363</v>
      </c>
      <c r="AL16" s="6">
        <f t="shared" si="10"/>
        <v>1185.9206232817824</v>
      </c>
      <c r="AM16" s="18">
        <f t="shared" si="10"/>
        <v>3578.138396789236</v>
      </c>
      <c r="AN16" s="18">
        <f t="shared" si="10"/>
        <v>1677.1450293430507</v>
      </c>
      <c r="AO16" s="6">
        <f t="shared" si="11"/>
        <v>5060.25184878726</v>
      </c>
      <c r="AP16" s="6">
        <f t="shared" si="11"/>
        <v>3137.3561462481016</v>
      </c>
      <c r="AQ16" s="6">
        <f t="shared" si="11"/>
        <v>5060.25184878726</v>
      </c>
      <c r="AR16" s="6">
        <f t="shared" si="12"/>
        <v>3187.9586647359743</v>
      </c>
      <c r="AS16" s="18">
        <f t="shared" si="12"/>
        <v>7156.276793578472</v>
      </c>
      <c r="AT16" s="18">
        <f t="shared" si="12"/>
        <v>4508.454379954437</v>
      </c>
      <c r="AU16" s="6">
        <f t="shared" si="13"/>
        <v>10120.50369757452</v>
      </c>
      <c r="AV16" s="6">
        <f t="shared" si="13"/>
        <v>6274.712292496203</v>
      </c>
    </row>
    <row r="17" spans="1:48" ht="15">
      <c r="A17" s="24" t="s">
        <v>20</v>
      </c>
      <c r="B17" s="5">
        <f>SQRT((18/28+14.48)/14.73)</f>
        <v>1.0132475245559769</v>
      </c>
      <c r="C17" s="6">
        <f t="shared" si="14"/>
        <v>278.64306925289367</v>
      </c>
      <c r="D17" s="6">
        <f t="shared" si="15"/>
        <v>177.31831679729595</v>
      </c>
      <c r="E17" s="6">
        <f t="shared" si="0"/>
        <v>253.3118811389942</v>
      </c>
      <c r="F17" s="6">
        <f t="shared" si="16"/>
        <v>177.31831679729595</v>
      </c>
      <c r="G17" s="6">
        <f t="shared" si="17"/>
        <v>420.4977226907304</v>
      </c>
      <c r="H17" s="6">
        <f t="shared" si="1"/>
        <v>263.444356384554</v>
      </c>
      <c r="I17" s="18">
        <f t="shared" si="1"/>
        <v>594.6735823762318</v>
      </c>
      <c r="J17" s="18">
        <f t="shared" si="1"/>
        <v>372.56658172968736</v>
      </c>
      <c r="K17" s="6">
        <f t="shared" si="18"/>
        <v>911.9227721003792</v>
      </c>
      <c r="L17" s="6">
        <f t="shared" si="2"/>
        <v>526.888712769108</v>
      </c>
      <c r="M17" s="6">
        <f t="shared" si="2"/>
        <v>759.9356434169827</v>
      </c>
      <c r="N17" s="6">
        <f t="shared" si="3"/>
        <v>478.7594553526991</v>
      </c>
      <c r="O17" s="18">
        <f t="shared" si="3"/>
        <v>1074.7112934510212</v>
      </c>
      <c r="P17" s="18">
        <f t="shared" si="3"/>
        <v>677.7845890697774</v>
      </c>
      <c r="Q17" s="6">
        <f t="shared" si="19"/>
        <v>1621.196039289563</v>
      </c>
      <c r="R17" s="6">
        <f t="shared" si="19"/>
        <v>1003.1150493104171</v>
      </c>
      <c r="S17" s="6">
        <f t="shared" si="19"/>
        <v>810.5980196447815</v>
      </c>
      <c r="T17" s="6">
        <f t="shared" si="4"/>
        <v>510.67675237621233</v>
      </c>
      <c r="U17" s="18">
        <f t="shared" si="4"/>
        <v>1146.3587130144226</v>
      </c>
      <c r="V17" s="18">
        <f t="shared" si="4"/>
        <v>722.2059891990863</v>
      </c>
      <c r="W17" s="6">
        <f t="shared" si="5"/>
        <v>1621.196039289563</v>
      </c>
      <c r="X17" s="6">
        <f t="shared" si="5"/>
        <v>1003.1150493104171</v>
      </c>
      <c r="Y17" s="6">
        <f t="shared" si="5"/>
        <v>1013.2475245559768</v>
      </c>
      <c r="Z17" s="6">
        <f t="shared" si="6"/>
        <v>638.3459404702654</v>
      </c>
      <c r="AA17" s="18">
        <f t="shared" si="6"/>
        <v>1432.9483912680282</v>
      </c>
      <c r="AB17" s="18">
        <f t="shared" si="6"/>
        <v>902.7574864988578</v>
      </c>
      <c r="AC17" s="6">
        <f t="shared" si="7"/>
        <v>2229.1445540231493</v>
      </c>
      <c r="AD17" s="6">
        <f t="shared" si="7"/>
        <v>1378.0166333961286</v>
      </c>
      <c r="AE17" s="6">
        <f t="shared" si="7"/>
        <v>1469.2089106061665</v>
      </c>
      <c r="AF17" s="6">
        <f t="shared" si="8"/>
        <v>925.6016136818849</v>
      </c>
      <c r="AG17" s="18">
        <f t="shared" si="8"/>
        <v>2077.775167338641</v>
      </c>
      <c r="AH17" s="18">
        <f t="shared" si="8"/>
        <v>1308.9983554233438</v>
      </c>
      <c r="AI17" s="6">
        <f t="shared" si="9"/>
        <v>3039.7425736679306</v>
      </c>
      <c r="AJ17" s="6">
        <f t="shared" si="9"/>
        <v>1884.640395674117</v>
      </c>
      <c r="AK17" s="6">
        <f t="shared" si="9"/>
        <v>2533.118811389942</v>
      </c>
      <c r="AL17" s="6">
        <f t="shared" si="10"/>
        <v>1187.3234492746938</v>
      </c>
      <c r="AM17" s="18">
        <f t="shared" si="10"/>
        <v>3582.370978170071</v>
      </c>
      <c r="AN17" s="18">
        <f t="shared" si="10"/>
        <v>1679.1289248878754</v>
      </c>
      <c r="AO17" s="6">
        <f t="shared" si="11"/>
        <v>5066.237622779884</v>
      </c>
      <c r="AP17" s="6">
        <f t="shared" si="11"/>
        <v>3141.0673261235283</v>
      </c>
      <c r="AQ17" s="6">
        <f t="shared" si="11"/>
        <v>5066.237622779884</v>
      </c>
      <c r="AR17" s="6">
        <f t="shared" si="12"/>
        <v>3191.729702351327</v>
      </c>
      <c r="AS17" s="18">
        <f t="shared" si="12"/>
        <v>7164.741956340142</v>
      </c>
      <c r="AT17" s="18">
        <f t="shared" si="12"/>
        <v>4513.787432494289</v>
      </c>
      <c r="AU17" s="6">
        <f t="shared" si="13"/>
        <v>10132.475245559768</v>
      </c>
      <c r="AV17" s="6">
        <f t="shared" si="13"/>
        <v>6282.134652247057</v>
      </c>
    </row>
    <row r="18" spans="1:48" ht="15">
      <c r="A18" s="24" t="s">
        <v>21</v>
      </c>
      <c r="B18" s="5">
        <f>SQRT((19/28+14.48)/14.73)</f>
        <v>1.014443266580953</v>
      </c>
      <c r="C18" s="6">
        <f t="shared" si="14"/>
        <v>278.9718983097621</v>
      </c>
      <c r="D18" s="6">
        <f t="shared" si="15"/>
        <v>177.5275716516668</v>
      </c>
      <c r="E18" s="6">
        <f t="shared" si="0"/>
        <v>253.61081664523826</v>
      </c>
      <c r="F18" s="6">
        <f t="shared" si="16"/>
        <v>177.5275716516668</v>
      </c>
      <c r="G18" s="6">
        <f t="shared" si="17"/>
        <v>420.9939556310955</v>
      </c>
      <c r="H18" s="6">
        <f t="shared" si="1"/>
        <v>263.7552493110478</v>
      </c>
      <c r="I18" s="18">
        <f t="shared" si="1"/>
        <v>595.3753617305924</v>
      </c>
      <c r="J18" s="18">
        <f t="shared" si="1"/>
        <v>373.00625072278075</v>
      </c>
      <c r="K18" s="6">
        <f t="shared" si="18"/>
        <v>912.9989399228577</v>
      </c>
      <c r="L18" s="6">
        <f t="shared" si="2"/>
        <v>527.5104986220956</v>
      </c>
      <c r="M18" s="6">
        <f t="shared" si="2"/>
        <v>760.8324499357147</v>
      </c>
      <c r="N18" s="6">
        <f t="shared" si="3"/>
        <v>479.32444345950034</v>
      </c>
      <c r="O18" s="18">
        <f t="shared" si="3"/>
        <v>1075.979569392637</v>
      </c>
      <c r="P18" s="18">
        <f t="shared" si="3"/>
        <v>678.5844484302896</v>
      </c>
      <c r="Q18" s="6">
        <f t="shared" si="19"/>
        <v>1623.109226529525</v>
      </c>
      <c r="R18" s="6">
        <f t="shared" si="19"/>
        <v>1004.2988339151435</v>
      </c>
      <c r="S18" s="6">
        <f t="shared" si="19"/>
        <v>811.5546132647625</v>
      </c>
      <c r="T18" s="6">
        <f t="shared" si="4"/>
        <v>511.27940635680034</v>
      </c>
      <c r="U18" s="18">
        <f t="shared" si="4"/>
        <v>1147.7115406854791</v>
      </c>
      <c r="V18" s="18">
        <f t="shared" si="4"/>
        <v>723.058270631852</v>
      </c>
      <c r="W18" s="6">
        <f t="shared" si="5"/>
        <v>1623.109226529525</v>
      </c>
      <c r="X18" s="6">
        <f t="shared" si="5"/>
        <v>1004.2988339151435</v>
      </c>
      <c r="Y18" s="6">
        <f t="shared" si="5"/>
        <v>1014.443266580953</v>
      </c>
      <c r="Z18" s="6">
        <f t="shared" si="6"/>
        <v>639.0992579460004</v>
      </c>
      <c r="AA18" s="18">
        <f t="shared" si="6"/>
        <v>1434.6394258568491</v>
      </c>
      <c r="AB18" s="18">
        <f t="shared" si="6"/>
        <v>903.8228382898149</v>
      </c>
      <c r="AC18" s="6">
        <f t="shared" si="7"/>
        <v>2231.7751864780967</v>
      </c>
      <c r="AD18" s="6">
        <f t="shared" si="7"/>
        <v>1379.6428425500962</v>
      </c>
      <c r="AE18" s="6">
        <f t="shared" si="7"/>
        <v>1470.942736542382</v>
      </c>
      <c r="AF18" s="6">
        <f t="shared" si="8"/>
        <v>926.6939240217006</v>
      </c>
      <c r="AG18" s="18">
        <f t="shared" si="8"/>
        <v>2080.2271674924314</v>
      </c>
      <c r="AH18" s="18">
        <f t="shared" si="8"/>
        <v>1310.5431155202316</v>
      </c>
      <c r="AI18" s="6">
        <f t="shared" si="9"/>
        <v>3043.329799742859</v>
      </c>
      <c r="AJ18" s="6">
        <f t="shared" si="9"/>
        <v>1886.8644758405728</v>
      </c>
      <c r="AK18" s="6">
        <f t="shared" si="9"/>
        <v>2536.1081664523826</v>
      </c>
      <c r="AL18" s="6">
        <f t="shared" si="10"/>
        <v>1188.7246197795607</v>
      </c>
      <c r="AM18" s="18">
        <f t="shared" si="10"/>
        <v>3586.5985646421227</v>
      </c>
      <c r="AN18" s="18">
        <f t="shared" si="10"/>
        <v>1681.1104792190556</v>
      </c>
      <c r="AO18" s="6">
        <f t="shared" si="11"/>
        <v>5072.216332904765</v>
      </c>
      <c r="AP18" s="6">
        <f t="shared" si="11"/>
        <v>3144.7741264009546</v>
      </c>
      <c r="AQ18" s="6">
        <f t="shared" si="11"/>
        <v>5072.216332904765</v>
      </c>
      <c r="AR18" s="6">
        <f t="shared" si="12"/>
        <v>3195.496289730002</v>
      </c>
      <c r="AS18" s="18">
        <f t="shared" si="12"/>
        <v>7173.197129284245</v>
      </c>
      <c r="AT18" s="18">
        <f t="shared" si="12"/>
        <v>4519.1141914490745</v>
      </c>
      <c r="AU18" s="6">
        <f t="shared" si="13"/>
        <v>10144.43266580953</v>
      </c>
      <c r="AV18" s="6">
        <f t="shared" si="13"/>
        <v>6289.548252801909</v>
      </c>
    </row>
    <row r="19" spans="1:48" ht="15">
      <c r="A19" s="24" t="s">
        <v>22</v>
      </c>
      <c r="B19" s="5">
        <f>SQRT((20/28+14.48)/14.73)</f>
        <v>1.0156376008222883</v>
      </c>
      <c r="C19" s="6">
        <f t="shared" si="14"/>
        <v>279.30034022612926</v>
      </c>
      <c r="D19" s="6">
        <f t="shared" si="15"/>
        <v>177.73658014390045</v>
      </c>
      <c r="E19" s="6">
        <f t="shared" si="0"/>
        <v>253.90940020557207</v>
      </c>
      <c r="F19" s="6">
        <f t="shared" si="16"/>
        <v>177.73658014390045</v>
      </c>
      <c r="G19" s="6">
        <f t="shared" si="17"/>
        <v>421.4896043412496</v>
      </c>
      <c r="H19" s="6">
        <f t="shared" si="1"/>
        <v>264.06577621379495</v>
      </c>
      <c r="I19" s="18">
        <f t="shared" si="1"/>
        <v>596.0763148586651</v>
      </c>
      <c r="J19" s="18">
        <f t="shared" si="1"/>
        <v>373.44540208012745</v>
      </c>
      <c r="K19" s="6">
        <f t="shared" si="18"/>
        <v>914.0738407400595</v>
      </c>
      <c r="L19" s="6">
        <f t="shared" si="2"/>
        <v>528.1315524275899</v>
      </c>
      <c r="M19" s="6">
        <f t="shared" si="2"/>
        <v>761.7282006167162</v>
      </c>
      <c r="N19" s="6">
        <f t="shared" si="3"/>
        <v>479.8887663885312</v>
      </c>
      <c r="O19" s="18">
        <f t="shared" si="3"/>
        <v>1077.246352154214</v>
      </c>
      <c r="P19" s="18">
        <f t="shared" si="3"/>
        <v>679.3833660919242</v>
      </c>
      <c r="Q19" s="6">
        <f t="shared" si="19"/>
        <v>1625.0201613156612</v>
      </c>
      <c r="R19" s="6">
        <f t="shared" si="19"/>
        <v>1005.4812248140654</v>
      </c>
      <c r="S19" s="6">
        <f t="shared" si="19"/>
        <v>812.5100806578306</v>
      </c>
      <c r="T19" s="6">
        <f t="shared" si="4"/>
        <v>511.8813508144333</v>
      </c>
      <c r="U19" s="18">
        <f t="shared" si="4"/>
        <v>1149.0627756311615</v>
      </c>
      <c r="V19" s="18">
        <f t="shared" si="4"/>
        <v>723.9095486476318</v>
      </c>
      <c r="W19" s="6">
        <f t="shared" si="5"/>
        <v>1625.0201613156612</v>
      </c>
      <c r="X19" s="6">
        <f t="shared" si="5"/>
        <v>1005.4812248140654</v>
      </c>
      <c r="Y19" s="6">
        <f t="shared" si="5"/>
        <v>1015.6376008222883</v>
      </c>
      <c r="Z19" s="6">
        <f t="shared" si="6"/>
        <v>639.8516885180416</v>
      </c>
      <c r="AA19" s="18">
        <f t="shared" si="6"/>
        <v>1436.3284695389518</v>
      </c>
      <c r="AB19" s="18">
        <f t="shared" si="6"/>
        <v>904.8869358095396</v>
      </c>
      <c r="AC19" s="6">
        <f t="shared" si="7"/>
        <v>2234.402721809034</v>
      </c>
      <c r="AD19" s="6">
        <f t="shared" si="7"/>
        <v>1381.2671371183121</v>
      </c>
      <c r="AE19" s="6">
        <f t="shared" si="7"/>
        <v>1472.674521192318</v>
      </c>
      <c r="AF19" s="6">
        <f t="shared" si="8"/>
        <v>927.7849483511603</v>
      </c>
      <c r="AG19" s="18">
        <f t="shared" si="8"/>
        <v>2082.67628083148</v>
      </c>
      <c r="AH19" s="18">
        <f t="shared" si="8"/>
        <v>1312.0860569238325</v>
      </c>
      <c r="AI19" s="6">
        <f t="shared" si="9"/>
        <v>3046.912802466865</v>
      </c>
      <c r="AJ19" s="6">
        <f t="shared" si="9"/>
        <v>1889.0859375294563</v>
      </c>
      <c r="AK19" s="6">
        <f t="shared" si="9"/>
        <v>2539.0940020557205</v>
      </c>
      <c r="AL19" s="6">
        <f t="shared" si="10"/>
        <v>1190.1241406435574</v>
      </c>
      <c r="AM19" s="18">
        <f t="shared" si="10"/>
        <v>3590.8211738473797</v>
      </c>
      <c r="AN19" s="18">
        <f t="shared" si="10"/>
        <v>1683.0897006057437</v>
      </c>
      <c r="AO19" s="6">
        <f t="shared" si="11"/>
        <v>5078.188004111441</v>
      </c>
      <c r="AP19" s="6">
        <f t="shared" si="11"/>
        <v>3148.4765625490936</v>
      </c>
      <c r="AQ19" s="6">
        <f t="shared" si="11"/>
        <v>5078.188004111441</v>
      </c>
      <c r="AR19" s="6">
        <f t="shared" si="12"/>
        <v>3199.2584425902082</v>
      </c>
      <c r="AS19" s="18">
        <f t="shared" si="12"/>
        <v>7181.642347694759</v>
      </c>
      <c r="AT19" s="18">
        <f t="shared" si="12"/>
        <v>4524.434679047698</v>
      </c>
      <c r="AU19" s="6">
        <f t="shared" si="13"/>
        <v>10156.376008222882</v>
      </c>
      <c r="AV19" s="6">
        <f t="shared" si="13"/>
        <v>6296.953125098187</v>
      </c>
    </row>
    <row r="20" spans="1:48" ht="15">
      <c r="A20" s="24" t="s">
        <v>23</v>
      </c>
      <c r="B20" s="5">
        <f>SQRT((21/28+14.48)/14.73)</f>
        <v>1.016830532240586</v>
      </c>
      <c r="C20" s="6">
        <f t="shared" si="14"/>
        <v>279.62839636616116</v>
      </c>
      <c r="D20" s="6">
        <f t="shared" si="15"/>
        <v>177.94534314210253</v>
      </c>
      <c r="E20" s="6">
        <f t="shared" si="0"/>
        <v>254.2076330601465</v>
      </c>
      <c r="F20" s="6">
        <f t="shared" si="16"/>
        <v>177.94534314210253</v>
      </c>
      <c r="G20" s="6">
        <f t="shared" si="17"/>
        <v>421.9846708798432</v>
      </c>
      <c r="H20" s="6">
        <f t="shared" si="1"/>
        <v>264.37593838255236</v>
      </c>
      <c r="I20" s="18">
        <f t="shared" si="1"/>
        <v>596.7764446718212</v>
      </c>
      <c r="J20" s="18">
        <f t="shared" si="1"/>
        <v>373.88403762571926</v>
      </c>
      <c r="K20" s="6">
        <f t="shared" si="18"/>
        <v>915.1474790165273</v>
      </c>
      <c r="L20" s="6">
        <f t="shared" si="2"/>
        <v>528.7518767651047</v>
      </c>
      <c r="M20" s="6">
        <f t="shared" si="2"/>
        <v>762.6228991804395</v>
      </c>
      <c r="N20" s="6">
        <f t="shared" si="3"/>
        <v>480.45242648367685</v>
      </c>
      <c r="O20" s="18">
        <f t="shared" si="3"/>
        <v>1078.5116469972672</v>
      </c>
      <c r="P20" s="18">
        <f t="shared" si="3"/>
        <v>680.1813453729432</v>
      </c>
      <c r="Q20" s="6">
        <f t="shared" si="19"/>
        <v>1626.9288515849375</v>
      </c>
      <c r="R20" s="6">
        <f t="shared" si="19"/>
        <v>1006.6622269181801</v>
      </c>
      <c r="S20" s="6">
        <f t="shared" si="19"/>
        <v>813.4644257924688</v>
      </c>
      <c r="T20" s="6">
        <f t="shared" si="4"/>
        <v>512.4825882492553</v>
      </c>
      <c r="U20" s="18">
        <f t="shared" si="4"/>
        <v>1150.4124234637516</v>
      </c>
      <c r="V20" s="18">
        <f t="shared" si="4"/>
        <v>724.7598267821635</v>
      </c>
      <c r="W20" s="6">
        <f t="shared" si="5"/>
        <v>1626.9288515849375</v>
      </c>
      <c r="X20" s="6">
        <f t="shared" si="5"/>
        <v>1006.6622269181801</v>
      </c>
      <c r="Y20" s="6">
        <f t="shared" si="5"/>
        <v>1016.830532240586</v>
      </c>
      <c r="Z20" s="6">
        <f t="shared" si="6"/>
        <v>640.6032353115692</v>
      </c>
      <c r="AA20" s="18">
        <f t="shared" si="6"/>
        <v>1438.0155293296893</v>
      </c>
      <c r="AB20" s="18">
        <f t="shared" si="6"/>
        <v>905.9497834777043</v>
      </c>
      <c r="AC20" s="6">
        <f t="shared" si="7"/>
        <v>2237.0271709292892</v>
      </c>
      <c r="AD20" s="6">
        <f t="shared" si="7"/>
        <v>1382.8895238471969</v>
      </c>
      <c r="AE20" s="6">
        <f t="shared" si="7"/>
        <v>1474.4042717488496</v>
      </c>
      <c r="AF20" s="6">
        <f t="shared" si="8"/>
        <v>928.8746912017752</v>
      </c>
      <c r="AG20" s="18">
        <f t="shared" si="8"/>
        <v>2085.1225175280497</v>
      </c>
      <c r="AH20" s="18">
        <f t="shared" si="8"/>
        <v>1313.6271860426714</v>
      </c>
      <c r="AI20" s="6">
        <f t="shared" si="9"/>
        <v>3050.491596721758</v>
      </c>
      <c r="AJ20" s="6">
        <f t="shared" si="9"/>
        <v>1891.3047899674898</v>
      </c>
      <c r="AK20" s="6">
        <f t="shared" si="9"/>
        <v>2542.076330601465</v>
      </c>
      <c r="AL20" s="6">
        <f t="shared" si="10"/>
        <v>1191.5220176795185</v>
      </c>
      <c r="AM20" s="18">
        <f t="shared" si="10"/>
        <v>3595.038823324224</v>
      </c>
      <c r="AN20" s="18">
        <f t="shared" si="10"/>
        <v>1685.06659726853</v>
      </c>
      <c r="AO20" s="6">
        <f t="shared" si="11"/>
        <v>5084.15266120293</v>
      </c>
      <c r="AP20" s="6">
        <f t="shared" si="11"/>
        <v>3152.1746499458163</v>
      </c>
      <c r="AQ20" s="6">
        <f t="shared" si="11"/>
        <v>5084.15266120293</v>
      </c>
      <c r="AR20" s="6">
        <f t="shared" si="12"/>
        <v>3203.016176557846</v>
      </c>
      <c r="AS20" s="18">
        <f t="shared" si="12"/>
        <v>7190.077646648448</v>
      </c>
      <c r="AT20" s="18">
        <f t="shared" si="12"/>
        <v>4529.7489173885215</v>
      </c>
      <c r="AU20" s="6">
        <f t="shared" si="13"/>
        <v>10168.30532240586</v>
      </c>
      <c r="AV20" s="6">
        <f t="shared" si="13"/>
        <v>6304.349299891633</v>
      </c>
    </row>
    <row r="21" spans="1:48" ht="15">
      <c r="A21" s="24" t="s">
        <v>24</v>
      </c>
      <c r="B21" s="5">
        <f>SQRT((22/28+14.48)/14.73)</f>
        <v>1.0180220657673846</v>
      </c>
      <c r="C21" s="6">
        <f t="shared" si="14"/>
        <v>279.95606808603077</v>
      </c>
      <c r="D21" s="6">
        <f t="shared" si="15"/>
        <v>178.1538615092923</v>
      </c>
      <c r="E21" s="6">
        <f t="shared" si="0"/>
        <v>254.50551644184617</v>
      </c>
      <c r="F21" s="6">
        <f t="shared" si="16"/>
        <v>178.1538615092923</v>
      </c>
      <c r="G21" s="6">
        <f t="shared" si="17"/>
        <v>422.4791572934646</v>
      </c>
      <c r="H21" s="6">
        <f t="shared" si="1"/>
        <v>264.68573709952</v>
      </c>
      <c r="I21" s="18">
        <f t="shared" si="1"/>
        <v>597.4757540643739</v>
      </c>
      <c r="J21" s="18">
        <f t="shared" si="1"/>
        <v>374.32215917286067</v>
      </c>
      <c r="K21" s="6">
        <f t="shared" si="18"/>
        <v>916.2198591906462</v>
      </c>
      <c r="L21" s="6">
        <f t="shared" si="2"/>
        <v>529.37147419904</v>
      </c>
      <c r="M21" s="6">
        <f t="shared" si="2"/>
        <v>763.5165493255384</v>
      </c>
      <c r="N21" s="6">
        <f t="shared" si="3"/>
        <v>481.01542607508924</v>
      </c>
      <c r="O21" s="18">
        <f t="shared" si="3"/>
        <v>1079.7754591524829</v>
      </c>
      <c r="P21" s="18">
        <f t="shared" si="3"/>
        <v>680.9783895721658</v>
      </c>
      <c r="Q21" s="6">
        <f t="shared" si="19"/>
        <v>1628.8353052278153</v>
      </c>
      <c r="R21" s="6">
        <f t="shared" si="19"/>
        <v>1007.8418451097108</v>
      </c>
      <c r="S21" s="6">
        <f t="shared" si="19"/>
        <v>814.4176526139076</v>
      </c>
      <c r="T21" s="6">
        <f t="shared" si="4"/>
        <v>513.0831211467619</v>
      </c>
      <c r="U21" s="18">
        <f t="shared" si="4"/>
        <v>1151.7604897626484</v>
      </c>
      <c r="V21" s="18">
        <f t="shared" si="4"/>
        <v>725.6091085504685</v>
      </c>
      <c r="W21" s="6">
        <f t="shared" si="5"/>
        <v>1628.8353052278153</v>
      </c>
      <c r="X21" s="6">
        <f t="shared" si="5"/>
        <v>1007.8418451097108</v>
      </c>
      <c r="Y21" s="6">
        <f t="shared" si="5"/>
        <v>1018.0220657673847</v>
      </c>
      <c r="Z21" s="6">
        <f t="shared" si="6"/>
        <v>641.3539014334523</v>
      </c>
      <c r="AA21" s="18">
        <f t="shared" si="6"/>
        <v>1439.7006122033104</v>
      </c>
      <c r="AB21" s="18">
        <f t="shared" si="6"/>
        <v>907.0113856880855</v>
      </c>
      <c r="AC21" s="6">
        <f t="shared" si="7"/>
        <v>2239.648544688246</v>
      </c>
      <c r="AD21" s="6">
        <f t="shared" si="7"/>
        <v>1384.5100094436432</v>
      </c>
      <c r="AE21" s="6">
        <f t="shared" si="7"/>
        <v>1476.1319953627078</v>
      </c>
      <c r="AF21" s="6">
        <f t="shared" si="8"/>
        <v>929.9631570785059</v>
      </c>
      <c r="AG21" s="18">
        <f t="shared" si="8"/>
        <v>2087.5658876948</v>
      </c>
      <c r="AH21" s="18">
        <f t="shared" si="8"/>
        <v>1315.166509247724</v>
      </c>
      <c r="AI21" s="6">
        <f t="shared" si="9"/>
        <v>3054.066197302154</v>
      </c>
      <c r="AJ21" s="6">
        <f t="shared" si="9"/>
        <v>1893.5210423273354</v>
      </c>
      <c r="AK21" s="6">
        <f t="shared" si="9"/>
        <v>2545.0551644184616</v>
      </c>
      <c r="AL21" s="6">
        <f t="shared" si="10"/>
        <v>1192.9182566662212</v>
      </c>
      <c r="AM21" s="18">
        <f t="shared" si="10"/>
        <v>3599.251530508276</v>
      </c>
      <c r="AN21" s="18">
        <f t="shared" si="10"/>
        <v>1687.041177379839</v>
      </c>
      <c r="AO21" s="6">
        <f t="shared" si="11"/>
        <v>5090.110328836923</v>
      </c>
      <c r="AP21" s="6">
        <f t="shared" si="11"/>
        <v>3155.8684038788924</v>
      </c>
      <c r="AQ21" s="6">
        <f t="shared" si="11"/>
        <v>5090.110328836923</v>
      </c>
      <c r="AR21" s="6">
        <f t="shared" si="12"/>
        <v>3206.7695071672615</v>
      </c>
      <c r="AS21" s="18">
        <f t="shared" si="12"/>
        <v>7198.503061016552</v>
      </c>
      <c r="AT21" s="18">
        <f t="shared" si="12"/>
        <v>4535.056928440427</v>
      </c>
      <c r="AU21" s="6">
        <f t="shared" si="13"/>
        <v>10180.220657673846</v>
      </c>
      <c r="AV21" s="6">
        <f t="shared" si="13"/>
        <v>6311.736807757785</v>
      </c>
    </row>
    <row r="22" spans="1:48" ht="15">
      <c r="A22" s="24" t="s">
        <v>25</v>
      </c>
      <c r="B22" s="5">
        <f>SQRT((23/28+14.48)/14.73)</f>
        <v>1.0192122063053957</v>
      </c>
      <c r="C22" s="6">
        <f t="shared" si="14"/>
        <v>280.2833567339838</v>
      </c>
      <c r="D22" s="6">
        <f t="shared" si="15"/>
        <v>178.36213610344424</v>
      </c>
      <c r="E22" s="6">
        <f t="shared" si="0"/>
        <v>254.8030515763489</v>
      </c>
      <c r="F22" s="6">
        <f t="shared" si="16"/>
        <v>178.36213610344424</v>
      </c>
      <c r="G22" s="6">
        <f t="shared" si="17"/>
        <v>422.9730656167392</v>
      </c>
      <c r="H22" s="6">
        <f t="shared" si="1"/>
        <v>264.9951736394029</v>
      </c>
      <c r="I22" s="18">
        <f t="shared" si="1"/>
        <v>598.1742459137178</v>
      </c>
      <c r="J22" s="18">
        <f t="shared" si="1"/>
        <v>374.75976852425686</v>
      </c>
      <c r="K22" s="6">
        <f t="shared" si="18"/>
        <v>917.2909856748561</v>
      </c>
      <c r="L22" s="6">
        <f t="shared" si="2"/>
        <v>529.9903472788058</v>
      </c>
      <c r="M22" s="6">
        <f t="shared" si="2"/>
        <v>764.4091547290467</v>
      </c>
      <c r="N22" s="6">
        <f t="shared" si="3"/>
        <v>481.57776747929944</v>
      </c>
      <c r="O22" s="18">
        <f t="shared" si="3"/>
        <v>1081.0377938199717</v>
      </c>
      <c r="P22" s="18">
        <f t="shared" si="3"/>
        <v>681.7745019691288</v>
      </c>
      <c r="Q22" s="6">
        <f t="shared" si="19"/>
        <v>1630.739530088633</v>
      </c>
      <c r="R22" s="6">
        <f t="shared" si="19"/>
        <v>1009.0200842423417</v>
      </c>
      <c r="S22" s="6">
        <f t="shared" si="19"/>
        <v>815.3697650443165</v>
      </c>
      <c r="T22" s="6">
        <f t="shared" si="4"/>
        <v>513.6829519779194</v>
      </c>
      <c r="U22" s="18">
        <f t="shared" si="4"/>
        <v>1153.1069800746363</v>
      </c>
      <c r="V22" s="18">
        <f t="shared" si="4"/>
        <v>726.457397447021</v>
      </c>
      <c r="W22" s="6">
        <f t="shared" si="5"/>
        <v>1630.739530088633</v>
      </c>
      <c r="X22" s="6">
        <f t="shared" si="5"/>
        <v>1009.0200842423417</v>
      </c>
      <c r="Y22" s="6">
        <f t="shared" si="5"/>
        <v>1019.2122063053956</v>
      </c>
      <c r="Z22" s="6">
        <f t="shared" si="6"/>
        <v>642.1036899723993</v>
      </c>
      <c r="AA22" s="18">
        <f t="shared" si="6"/>
        <v>1441.3837250932957</v>
      </c>
      <c r="AB22" s="18">
        <f t="shared" si="6"/>
        <v>908.0717468087762</v>
      </c>
      <c r="AC22" s="6">
        <f t="shared" si="7"/>
        <v>2242.2668538718704</v>
      </c>
      <c r="AD22" s="6">
        <f t="shared" si="7"/>
        <v>1386.1286005753382</v>
      </c>
      <c r="AE22" s="6">
        <f t="shared" si="7"/>
        <v>1477.8576991428238</v>
      </c>
      <c r="AF22" s="6">
        <f t="shared" si="8"/>
        <v>931.050350459979</v>
      </c>
      <c r="AG22" s="18">
        <f t="shared" si="8"/>
        <v>2090.006401385279</v>
      </c>
      <c r="AH22" s="18">
        <f t="shared" si="8"/>
        <v>1316.7040328727255</v>
      </c>
      <c r="AI22" s="6">
        <f t="shared" si="9"/>
        <v>3057.6366189161868</v>
      </c>
      <c r="AJ22" s="6">
        <f t="shared" si="9"/>
        <v>1895.734703728036</v>
      </c>
      <c r="AK22" s="6">
        <f t="shared" si="9"/>
        <v>2548.0305157634893</v>
      </c>
      <c r="AL22" s="6">
        <f t="shared" si="10"/>
        <v>1194.3128633486626</v>
      </c>
      <c r="AM22" s="18">
        <f t="shared" si="10"/>
        <v>3603.459312733239</v>
      </c>
      <c r="AN22" s="18">
        <f t="shared" si="10"/>
        <v>1689.0134490643236</v>
      </c>
      <c r="AO22" s="6">
        <f t="shared" si="11"/>
        <v>5096.061031526979</v>
      </c>
      <c r="AP22" s="6">
        <f t="shared" si="11"/>
        <v>3159.5578395467264</v>
      </c>
      <c r="AQ22" s="6">
        <f t="shared" si="11"/>
        <v>5096.061031526979</v>
      </c>
      <c r="AR22" s="6">
        <f t="shared" si="12"/>
        <v>3210.5184498619965</v>
      </c>
      <c r="AS22" s="18">
        <f t="shared" si="12"/>
        <v>7206.918625466478</v>
      </c>
      <c r="AT22" s="18">
        <f t="shared" si="12"/>
        <v>4540.358734043881</v>
      </c>
      <c r="AU22" s="6">
        <f t="shared" si="13"/>
        <v>10192.122063053957</v>
      </c>
      <c r="AV22" s="6">
        <f t="shared" si="13"/>
        <v>6319.115679093453</v>
      </c>
    </row>
    <row r="23" spans="1:48" ht="15">
      <c r="A23" s="24" t="s">
        <v>26</v>
      </c>
      <c r="B23" s="5">
        <f>SQRT((24/28+14.48)/14.73)</f>
        <v>1.0204009587287401</v>
      </c>
      <c r="C23" s="6">
        <f t="shared" si="14"/>
        <v>280.61026365040357</v>
      </c>
      <c r="D23" s="6">
        <f t="shared" si="15"/>
        <v>178.57016777752952</v>
      </c>
      <c r="E23" s="6">
        <f t="shared" si="0"/>
        <v>255.10023968218505</v>
      </c>
      <c r="F23" s="6">
        <f t="shared" si="16"/>
        <v>178.57016777752952</v>
      </c>
      <c r="G23" s="6">
        <f t="shared" si="17"/>
        <v>423.46639787242714</v>
      </c>
      <c r="H23" s="6">
        <f t="shared" si="1"/>
        <v>265.30424926947245</v>
      </c>
      <c r="I23" s="18">
        <f t="shared" si="1"/>
        <v>598.8719230804677</v>
      </c>
      <c r="J23" s="18">
        <f t="shared" si="1"/>
        <v>375.1968674721002</v>
      </c>
      <c r="K23" s="6">
        <f t="shared" si="18"/>
        <v>918.3608628558661</v>
      </c>
      <c r="L23" s="6">
        <f t="shared" si="2"/>
        <v>530.6084985389449</v>
      </c>
      <c r="M23" s="6">
        <f t="shared" si="2"/>
        <v>765.3007190465551</v>
      </c>
      <c r="N23" s="6">
        <f aca="true" t="shared" si="20" ref="N23:O54">$B23*N$6</f>
        <v>482.1394529993297</v>
      </c>
      <c r="O23" s="18">
        <f t="shared" si="20"/>
        <v>1082.29865616952</v>
      </c>
      <c r="P23" s="18">
        <f aca="true" t="shared" si="21" ref="P23:P54">$B23*P$6</f>
        <v>682.569685824244</v>
      </c>
      <c r="Q23" s="6">
        <f t="shared" si="19"/>
        <v>1632.6415339659843</v>
      </c>
      <c r="R23" s="6">
        <f t="shared" si="19"/>
        <v>1010.1969491414527</v>
      </c>
      <c r="S23" s="6">
        <f t="shared" si="19"/>
        <v>816.3207669829922</v>
      </c>
      <c r="T23" s="6">
        <f aca="true" t="shared" si="22" ref="T23:V42">$B23*T$6</f>
        <v>514.282083199285</v>
      </c>
      <c r="U23" s="18">
        <f t="shared" si="22"/>
        <v>1154.4518999141546</v>
      </c>
      <c r="V23" s="18">
        <f t="shared" si="22"/>
        <v>727.3046969459174</v>
      </c>
      <c r="W23" s="6">
        <f t="shared" si="5"/>
        <v>1632.6415339659843</v>
      </c>
      <c r="X23" s="6">
        <f t="shared" si="5"/>
        <v>1010.1969491414527</v>
      </c>
      <c r="Y23" s="6">
        <f t="shared" si="5"/>
        <v>1020.4009587287402</v>
      </c>
      <c r="Z23" s="6">
        <f aca="true" t="shared" si="23" ref="Z23:AB42">$B23*Z$6</f>
        <v>642.8526039991063</v>
      </c>
      <c r="AA23" s="18">
        <f t="shared" si="23"/>
        <v>1443.0648748926933</v>
      </c>
      <c r="AB23" s="18">
        <f t="shared" si="23"/>
        <v>909.1308711823967</v>
      </c>
      <c r="AC23" s="6">
        <f t="shared" si="7"/>
        <v>2244.8821092032285</v>
      </c>
      <c r="AD23" s="6">
        <f t="shared" si="7"/>
        <v>1387.7453038710867</v>
      </c>
      <c r="AE23" s="6">
        <f t="shared" si="7"/>
        <v>1479.5813901566733</v>
      </c>
      <c r="AF23" s="6">
        <f aca="true" t="shared" si="24" ref="AF23:AJ25">$B23*AF$6</f>
        <v>932.1362757987041</v>
      </c>
      <c r="AG23" s="18">
        <f t="shared" si="24"/>
        <v>2092.444068594405</v>
      </c>
      <c r="AH23" s="18">
        <f t="shared" si="24"/>
        <v>1318.2397632144753</v>
      </c>
      <c r="AI23" s="6">
        <f t="shared" si="24"/>
        <v>3061.2028761862202</v>
      </c>
      <c r="AJ23" s="6">
        <f t="shared" si="24"/>
        <v>1897.9457832354567</v>
      </c>
      <c r="AK23" s="6">
        <f aca="true" t="shared" si="25" ref="AK23:AN55">$B23*AK$6</f>
        <v>2551.00239682185</v>
      </c>
      <c r="AL23" s="6">
        <f t="shared" si="25"/>
        <v>1195.7058434383378</v>
      </c>
      <c r="AM23" s="18">
        <f t="shared" si="25"/>
        <v>3607.6621872317332</v>
      </c>
      <c r="AN23" s="18">
        <f t="shared" si="25"/>
        <v>1690.9834203992577</v>
      </c>
      <c r="AO23" s="6">
        <f aca="true" t="shared" si="26" ref="AO23:AP42">$B23*AO$6</f>
        <v>5102.0047936437</v>
      </c>
      <c r="AP23" s="6">
        <f t="shared" si="26"/>
        <v>3163.2429720590944</v>
      </c>
      <c r="AQ23" s="6">
        <f aca="true" t="shared" si="27" ref="AQ23:AT55">$B23*AQ$6</f>
        <v>5102.0047936437</v>
      </c>
      <c r="AR23" s="6">
        <f t="shared" si="27"/>
        <v>3214.2630199955315</v>
      </c>
      <c r="AS23" s="18">
        <f t="shared" si="27"/>
        <v>7215.3243744634665</v>
      </c>
      <c r="AT23" s="18">
        <f t="shared" si="27"/>
        <v>4545.654355911984</v>
      </c>
      <c r="AU23" s="6">
        <f t="shared" si="13"/>
        <v>10204.0095872874</v>
      </c>
      <c r="AV23" s="6">
        <f t="shared" si="13"/>
        <v>6326.485944118189</v>
      </c>
    </row>
    <row r="24" spans="1:48" ht="15">
      <c r="A24" s="24" t="s">
        <v>27</v>
      </c>
      <c r="B24" s="5">
        <f>SQRT((25/28+14.48)/14.73)</f>
        <v>1.0215883278831799</v>
      </c>
      <c r="C24" s="6">
        <f t="shared" si="14"/>
        <v>280.93679016787445</v>
      </c>
      <c r="D24" s="6">
        <f t="shared" si="15"/>
        <v>178.77795737955648</v>
      </c>
      <c r="E24" s="6">
        <f t="shared" si="0"/>
        <v>255.39708197079497</v>
      </c>
      <c r="F24" s="6">
        <f t="shared" si="16"/>
        <v>178.77795737955648</v>
      </c>
      <c r="G24" s="6">
        <f t="shared" si="17"/>
        <v>423.95915607151966</v>
      </c>
      <c r="H24" s="6">
        <f t="shared" si="1"/>
        <v>265.61296524962677</v>
      </c>
      <c r="I24" s="18">
        <f t="shared" si="1"/>
        <v>599.5687884085949</v>
      </c>
      <c r="J24" s="18">
        <f t="shared" si="1"/>
        <v>375.6334577981558</v>
      </c>
      <c r="K24" s="6">
        <f t="shared" si="18"/>
        <v>919.4294950948619</v>
      </c>
      <c r="L24" s="6">
        <f t="shared" si="2"/>
        <v>531.2259304992535</v>
      </c>
      <c r="M24" s="6">
        <f t="shared" si="2"/>
        <v>766.1912459123849</v>
      </c>
      <c r="N24" s="6">
        <f t="shared" si="20"/>
        <v>482.7004849248025</v>
      </c>
      <c r="O24" s="18">
        <f t="shared" si="20"/>
        <v>1083.558051340834</v>
      </c>
      <c r="P24" s="18">
        <f t="shared" si="21"/>
        <v>683.3639443789526</v>
      </c>
      <c r="Q24" s="6">
        <f t="shared" si="19"/>
        <v>1634.541324613088</v>
      </c>
      <c r="R24" s="6">
        <f t="shared" si="19"/>
        <v>1011.3724446043481</v>
      </c>
      <c r="S24" s="6">
        <f t="shared" si="19"/>
        <v>817.270662306544</v>
      </c>
      <c r="T24" s="6">
        <f t="shared" si="22"/>
        <v>514.8805172531227</v>
      </c>
      <c r="U24" s="18">
        <f t="shared" si="22"/>
        <v>1155.7952547635562</v>
      </c>
      <c r="V24" s="18">
        <f t="shared" si="22"/>
        <v>728.1510105010404</v>
      </c>
      <c r="W24" s="6">
        <f t="shared" si="5"/>
        <v>1634.541324613088</v>
      </c>
      <c r="X24" s="6">
        <f t="shared" si="5"/>
        <v>1011.3724446043481</v>
      </c>
      <c r="Y24" s="6">
        <f t="shared" si="5"/>
        <v>1021.5883278831799</v>
      </c>
      <c r="Z24" s="6">
        <f t="shared" si="23"/>
        <v>643.6006465664033</v>
      </c>
      <c r="AA24" s="18">
        <f t="shared" si="23"/>
        <v>1444.7440684544454</v>
      </c>
      <c r="AB24" s="18">
        <f t="shared" si="23"/>
        <v>910.1887631263006</v>
      </c>
      <c r="AC24" s="6">
        <f t="shared" si="7"/>
        <v>2247.4943213429956</v>
      </c>
      <c r="AD24" s="6">
        <f t="shared" si="7"/>
        <v>1389.3601259211246</v>
      </c>
      <c r="AE24" s="6">
        <f t="shared" si="7"/>
        <v>1481.3030754306108</v>
      </c>
      <c r="AF24" s="6">
        <f t="shared" si="24"/>
        <v>933.2209375212848</v>
      </c>
      <c r="AG24" s="18">
        <f t="shared" si="24"/>
        <v>2094.8788992589457</v>
      </c>
      <c r="AH24" s="18">
        <f t="shared" si="24"/>
        <v>1319.773706533136</v>
      </c>
      <c r="AI24" s="6">
        <f t="shared" si="24"/>
        <v>3064.7649836495398</v>
      </c>
      <c r="AJ24" s="6">
        <f t="shared" si="24"/>
        <v>1900.1542898627147</v>
      </c>
      <c r="AK24" s="6">
        <f t="shared" si="25"/>
        <v>2553.97081970795</v>
      </c>
      <c r="AL24" s="6">
        <f t="shared" si="25"/>
        <v>1197.09720261351</v>
      </c>
      <c r="AM24" s="18">
        <f t="shared" si="25"/>
        <v>3611.8601711361134</v>
      </c>
      <c r="AN24" s="18">
        <f t="shared" si="25"/>
        <v>1692.951099414919</v>
      </c>
      <c r="AO24" s="6">
        <f t="shared" si="26"/>
        <v>5107.9416394159</v>
      </c>
      <c r="AP24" s="6">
        <f t="shared" si="26"/>
        <v>3166.9238164378576</v>
      </c>
      <c r="AQ24" s="6">
        <f t="shared" si="27"/>
        <v>5107.9416394159</v>
      </c>
      <c r="AR24" s="6">
        <f t="shared" si="27"/>
        <v>3218.0032328320167</v>
      </c>
      <c r="AS24" s="18">
        <f t="shared" si="27"/>
        <v>7223.720342272227</v>
      </c>
      <c r="AT24" s="18">
        <f t="shared" si="27"/>
        <v>4550.943815631503</v>
      </c>
      <c r="AU24" s="6">
        <f t="shared" si="13"/>
        <v>10215.8832788318</v>
      </c>
      <c r="AV24" s="6">
        <f t="shared" si="13"/>
        <v>6333.847632875715</v>
      </c>
    </row>
    <row r="25" spans="1:48" ht="15">
      <c r="A25" s="24" t="s">
        <v>28</v>
      </c>
      <c r="B25" s="5">
        <f>SQRT((26/28+14.48)/14.73)</f>
        <v>1.0227743185863494</v>
      </c>
      <c r="C25" s="6">
        <f t="shared" si="14"/>
        <v>281.26293761124606</v>
      </c>
      <c r="D25" s="6">
        <f t="shared" si="15"/>
        <v>178.98550575261115</v>
      </c>
      <c r="E25" s="6">
        <f t="shared" si="0"/>
        <v>255.69357964658735</v>
      </c>
      <c r="F25" s="6">
        <f t="shared" si="16"/>
        <v>178.98550575261115</v>
      </c>
      <c r="G25" s="6">
        <f t="shared" si="17"/>
        <v>424.451342213335</v>
      </c>
      <c r="H25" s="6">
        <f t="shared" si="1"/>
        <v>265.9213228324508</v>
      </c>
      <c r="I25" s="18">
        <f t="shared" si="1"/>
        <v>600.2648447255622</v>
      </c>
      <c r="J25" s="18">
        <f t="shared" si="1"/>
        <v>376.0695412738462</v>
      </c>
      <c r="K25" s="6">
        <f t="shared" si="18"/>
        <v>920.4968867277145</v>
      </c>
      <c r="L25" s="6">
        <f t="shared" si="2"/>
        <v>531.8426456649016</v>
      </c>
      <c r="M25" s="6">
        <f t="shared" si="2"/>
        <v>767.080738939762</v>
      </c>
      <c r="N25" s="6">
        <f t="shared" si="20"/>
        <v>483.2608655320501</v>
      </c>
      <c r="O25" s="18">
        <f t="shared" si="20"/>
        <v>1084.815984443787</v>
      </c>
      <c r="P25" s="18">
        <f t="shared" si="21"/>
        <v>684.1572808558817</v>
      </c>
      <c r="Q25" s="6">
        <f t="shared" si="19"/>
        <v>1636.438909738159</v>
      </c>
      <c r="R25" s="6">
        <f t="shared" si="19"/>
        <v>1012.5465754004858</v>
      </c>
      <c r="S25" s="6">
        <f t="shared" si="19"/>
        <v>818.2194548690795</v>
      </c>
      <c r="T25" s="6">
        <f t="shared" si="22"/>
        <v>515.4782565675201</v>
      </c>
      <c r="U25" s="18">
        <f t="shared" si="22"/>
        <v>1157.1370500733728</v>
      </c>
      <c r="V25" s="18">
        <f t="shared" si="22"/>
        <v>728.9963415462249</v>
      </c>
      <c r="W25" s="6">
        <f t="shared" si="5"/>
        <v>1636.438909738159</v>
      </c>
      <c r="X25" s="6">
        <f t="shared" si="5"/>
        <v>1012.5465754004858</v>
      </c>
      <c r="Y25" s="6">
        <f t="shared" si="5"/>
        <v>1022.7743185863494</v>
      </c>
      <c r="Z25" s="6">
        <f t="shared" si="23"/>
        <v>644.3478207094001</v>
      </c>
      <c r="AA25" s="18">
        <f t="shared" si="23"/>
        <v>1446.421312591716</v>
      </c>
      <c r="AB25" s="18">
        <f t="shared" si="23"/>
        <v>911.2454269327811</v>
      </c>
      <c r="AC25" s="6">
        <f t="shared" si="7"/>
        <v>2250.1035008899685</v>
      </c>
      <c r="AD25" s="6">
        <f t="shared" si="7"/>
        <v>1390.973073277435</v>
      </c>
      <c r="AE25" s="6">
        <f t="shared" si="7"/>
        <v>1483.0227619502066</v>
      </c>
      <c r="AF25" s="6">
        <f t="shared" si="24"/>
        <v>934.3043400286301</v>
      </c>
      <c r="AG25" s="18">
        <f t="shared" si="24"/>
        <v>2097.3109032579882</v>
      </c>
      <c r="AH25" s="18">
        <f t="shared" si="24"/>
        <v>1321.3058690525327</v>
      </c>
      <c r="AI25" s="6">
        <f t="shared" si="24"/>
        <v>3068.322955759048</v>
      </c>
      <c r="AJ25" s="6">
        <f t="shared" si="24"/>
        <v>1902.36023257061</v>
      </c>
      <c r="AK25" s="6">
        <f t="shared" si="25"/>
        <v>2556.9357964658734</v>
      </c>
      <c r="AL25" s="6">
        <f t="shared" si="25"/>
        <v>1198.486946519484</v>
      </c>
      <c r="AM25" s="18">
        <f t="shared" si="25"/>
        <v>3616.0532814792905</v>
      </c>
      <c r="AN25" s="18">
        <f t="shared" si="25"/>
        <v>1694.916494094973</v>
      </c>
      <c r="AO25" s="6">
        <f t="shared" si="26"/>
        <v>5113.871592931747</v>
      </c>
      <c r="AP25" s="6">
        <f t="shared" si="26"/>
        <v>3170.6003876176833</v>
      </c>
      <c r="AQ25" s="6">
        <f t="shared" si="27"/>
        <v>5113.871592931747</v>
      </c>
      <c r="AR25" s="6">
        <f t="shared" si="27"/>
        <v>3221.7391035470005</v>
      </c>
      <c r="AS25" s="18">
        <f t="shared" si="27"/>
        <v>7232.106562958581</v>
      </c>
      <c r="AT25" s="18">
        <f t="shared" si="27"/>
        <v>4556.227134663905</v>
      </c>
      <c r="AU25" s="6">
        <f t="shared" si="13"/>
        <v>10227.743185863494</v>
      </c>
      <c r="AV25" s="6">
        <f t="shared" si="13"/>
        <v>6341.200775235367</v>
      </c>
    </row>
    <row r="26" spans="1:48" ht="15">
      <c r="A26" s="24" t="s">
        <v>29</v>
      </c>
      <c r="B26" s="5">
        <f>SQRT((27/28+14.48)/14.73)</f>
        <v>1.0239589356279823</v>
      </c>
      <c r="C26" s="6">
        <f t="shared" si="14"/>
        <v>281.5887072976951</v>
      </c>
      <c r="D26" s="6">
        <f t="shared" si="15"/>
        <v>179.1928137348969</v>
      </c>
      <c r="E26" s="6">
        <f t="shared" si="0"/>
        <v>255.98973390699558</v>
      </c>
      <c r="F26" s="6">
        <f t="shared" si="16"/>
        <v>179.1928137348969</v>
      </c>
      <c r="G26" s="6">
        <f t="shared" si="17"/>
        <v>424.9429582856127</v>
      </c>
      <c r="H26" s="6">
        <f t="shared" si="1"/>
        <v>266.22932326327543</v>
      </c>
      <c r="I26" s="18">
        <f t="shared" si="1"/>
        <v>600.9600948424579</v>
      </c>
      <c r="J26" s="18">
        <f t="shared" si="1"/>
        <v>376.505119660335</v>
      </c>
      <c r="K26" s="6">
        <f t="shared" si="18"/>
        <v>921.5630420651842</v>
      </c>
      <c r="L26" s="6">
        <f t="shared" si="2"/>
        <v>532.4586465265509</v>
      </c>
      <c r="M26" s="6">
        <f t="shared" si="2"/>
        <v>767.9692017209868</v>
      </c>
      <c r="N26" s="6">
        <f t="shared" si="20"/>
        <v>483.8205970842217</v>
      </c>
      <c r="O26" s="18">
        <f t="shared" si="20"/>
        <v>1086.0724605586588</v>
      </c>
      <c r="P26" s="18">
        <f t="shared" si="21"/>
        <v>684.9496984589941</v>
      </c>
      <c r="Q26" s="6">
        <f t="shared" si="19"/>
        <v>1638.3342970047718</v>
      </c>
      <c r="R26" s="6">
        <f t="shared" si="19"/>
        <v>1013.7193462717025</v>
      </c>
      <c r="S26" s="6">
        <f t="shared" si="19"/>
        <v>819.1671485023859</v>
      </c>
      <c r="T26" s="6">
        <f t="shared" si="22"/>
        <v>516.0753035565031</v>
      </c>
      <c r="U26" s="18">
        <f t="shared" si="22"/>
        <v>1158.4772912625695</v>
      </c>
      <c r="V26" s="18">
        <f t="shared" si="22"/>
        <v>729.8406934954187</v>
      </c>
      <c r="W26" s="6">
        <f t="shared" si="5"/>
        <v>1638.3342970047718</v>
      </c>
      <c r="X26" s="6">
        <f t="shared" si="5"/>
        <v>1013.7193462717025</v>
      </c>
      <c r="Y26" s="6">
        <f t="shared" si="5"/>
        <v>1023.9589356279823</v>
      </c>
      <c r="Z26" s="6">
        <f t="shared" si="23"/>
        <v>645.0941294456288</v>
      </c>
      <c r="AA26" s="18">
        <f t="shared" si="23"/>
        <v>1448.0966140782116</v>
      </c>
      <c r="AB26" s="18">
        <f t="shared" si="23"/>
        <v>912.3008668692734</v>
      </c>
      <c r="AC26" s="6">
        <f t="shared" si="7"/>
        <v>2252.709658381561</v>
      </c>
      <c r="AD26" s="6">
        <f t="shared" si="7"/>
        <v>1392.584152454056</v>
      </c>
      <c r="AE26" s="6">
        <f t="shared" si="7"/>
        <v>1484.7404566605744</v>
      </c>
      <c r="AF26" s="6">
        <f>$B26*AF$6</f>
        <v>935.3864876961619</v>
      </c>
      <c r="AG26" s="18">
        <f>$B26*AG$6</f>
        <v>2099.740090413407</v>
      </c>
      <c r="AH26" s="18">
        <f aca="true" t="shared" si="28" ref="AF26:AH55">$B26*AH$6</f>
        <v>1322.8362569604465</v>
      </c>
      <c r="AI26" s="6">
        <f aca="true" t="shared" si="29" ref="AI26:AJ55">$B26*AI$6</f>
        <v>3071.876806883947</v>
      </c>
      <c r="AJ26" s="6">
        <f t="shared" si="29"/>
        <v>1904.563620268047</v>
      </c>
      <c r="AK26" s="6">
        <f t="shared" si="25"/>
        <v>2559.8973390699557</v>
      </c>
      <c r="AL26" s="6">
        <f t="shared" si="25"/>
        <v>1199.8750807688696</v>
      </c>
      <c r="AM26" s="18">
        <f t="shared" si="25"/>
        <v>3620.2415351955297</v>
      </c>
      <c r="AN26" s="18">
        <f t="shared" si="25"/>
        <v>1696.8796123768484</v>
      </c>
      <c r="AO26" s="6">
        <f t="shared" si="26"/>
        <v>5119.794678139911</v>
      </c>
      <c r="AP26" s="6">
        <f t="shared" si="26"/>
        <v>3174.272700446745</v>
      </c>
      <c r="AQ26" s="6">
        <f t="shared" si="27"/>
        <v>5119.794678139911</v>
      </c>
      <c r="AR26" s="6">
        <f t="shared" si="27"/>
        <v>3225.4706472281446</v>
      </c>
      <c r="AS26" s="18">
        <f t="shared" si="27"/>
        <v>7240.483070391059</v>
      </c>
      <c r="AT26" s="18">
        <f t="shared" si="27"/>
        <v>4561.504334346367</v>
      </c>
      <c r="AU26" s="6">
        <f t="shared" si="13"/>
        <v>10239.589356279823</v>
      </c>
      <c r="AV26" s="6">
        <f t="shared" si="13"/>
        <v>6348.54540089349</v>
      </c>
    </row>
    <row r="27" spans="1:48" ht="15">
      <c r="A27" s="24" t="s">
        <v>30</v>
      </c>
      <c r="B27" s="5">
        <f>SQRT((28/28+14.48)/14.73)</f>
        <v>1.0251421837701393</v>
      </c>
      <c r="C27" s="6">
        <f t="shared" si="14"/>
        <v>281.91410053678834</v>
      </c>
      <c r="D27" s="6">
        <f t="shared" si="15"/>
        <v>179.3998821597744</v>
      </c>
      <c r="E27" s="6">
        <f t="shared" si="0"/>
        <v>256.28554594253484</v>
      </c>
      <c r="F27" s="6">
        <f t="shared" si="16"/>
        <v>179.3998821597744</v>
      </c>
      <c r="G27" s="6">
        <f t="shared" si="17"/>
        <v>425.43400626460783</v>
      </c>
      <c r="H27" s="6">
        <f t="shared" si="1"/>
        <v>266.53696778023624</v>
      </c>
      <c r="I27" s="18">
        <f t="shared" si="1"/>
        <v>601.6545415541287</v>
      </c>
      <c r="J27" s="18">
        <f t="shared" si="1"/>
        <v>376.94019470861076</v>
      </c>
      <c r="K27" s="6">
        <f t="shared" si="18"/>
        <v>922.6279653931254</v>
      </c>
      <c r="L27" s="6">
        <f aca="true" t="shared" si="30" ref="L27:M46">$B27*L$6</f>
        <v>533.0739355604725</v>
      </c>
      <c r="M27" s="6">
        <f t="shared" si="30"/>
        <v>768.8566378276045</v>
      </c>
      <c r="N27" s="6">
        <f t="shared" si="20"/>
        <v>484.3796818313908</v>
      </c>
      <c r="O27" s="18">
        <f t="shared" si="20"/>
        <v>1087.3274847363773</v>
      </c>
      <c r="P27" s="18">
        <f t="shared" si="21"/>
        <v>685.7412003737419</v>
      </c>
      <c r="Q27" s="6">
        <f t="shared" si="19"/>
        <v>1640.227494032223</v>
      </c>
      <c r="R27" s="6">
        <f t="shared" si="19"/>
        <v>1014.890761932438</v>
      </c>
      <c r="S27" s="6">
        <f t="shared" si="19"/>
        <v>820.1137470161115</v>
      </c>
      <c r="T27" s="6">
        <f t="shared" si="22"/>
        <v>516.6716606201502</v>
      </c>
      <c r="U27" s="18">
        <f t="shared" si="22"/>
        <v>1159.8159837188023</v>
      </c>
      <c r="V27" s="18">
        <f t="shared" si="22"/>
        <v>730.6840697428455</v>
      </c>
      <c r="W27" s="6">
        <f aca="true" t="shared" si="31" ref="W27:Y46">$B27*W$6</f>
        <v>1640.227494032223</v>
      </c>
      <c r="X27" s="6">
        <f t="shared" si="31"/>
        <v>1014.890761932438</v>
      </c>
      <c r="Y27" s="6">
        <f t="shared" si="31"/>
        <v>1025.1421837701394</v>
      </c>
      <c r="Z27" s="6">
        <f t="shared" si="23"/>
        <v>645.8395757751878</v>
      </c>
      <c r="AA27" s="18">
        <f t="shared" si="23"/>
        <v>1449.7699796485028</v>
      </c>
      <c r="AB27" s="18">
        <f t="shared" si="23"/>
        <v>913.3550871785568</v>
      </c>
      <c r="AC27" s="6">
        <f aca="true" t="shared" si="32" ref="AC27:AE46">$B27*AC$6</f>
        <v>2255.3128042943067</v>
      </c>
      <c r="AD27" s="6">
        <f t="shared" si="32"/>
        <v>1394.1933699273895</v>
      </c>
      <c r="AE27" s="6">
        <f t="shared" si="32"/>
        <v>1486.456166466702</v>
      </c>
      <c r="AF27" s="6">
        <f t="shared" si="28"/>
        <v>936.4673848740223</v>
      </c>
      <c r="AG27" s="18">
        <f t="shared" si="28"/>
        <v>2102.166470490329</v>
      </c>
      <c r="AH27" s="18">
        <f t="shared" si="28"/>
        <v>1324.3648764089073</v>
      </c>
      <c r="AI27" s="6">
        <f t="shared" si="29"/>
        <v>3075.426551310418</v>
      </c>
      <c r="AJ27" s="6">
        <f t="shared" si="29"/>
        <v>1906.764461812459</v>
      </c>
      <c r="AK27" s="6">
        <f t="shared" si="25"/>
        <v>2562.8554594253483</v>
      </c>
      <c r="AL27" s="6">
        <f t="shared" si="25"/>
        <v>1201.2616109418493</v>
      </c>
      <c r="AM27" s="18">
        <f t="shared" si="25"/>
        <v>3624.424949121257</v>
      </c>
      <c r="AN27" s="18">
        <f t="shared" si="25"/>
        <v>1698.8404621521156</v>
      </c>
      <c r="AO27" s="6">
        <f t="shared" si="26"/>
        <v>5125.7109188506965</v>
      </c>
      <c r="AP27" s="6">
        <f t="shared" si="26"/>
        <v>3177.940769687432</v>
      </c>
      <c r="AQ27" s="6">
        <f t="shared" si="27"/>
        <v>5125.7109188506965</v>
      </c>
      <c r="AR27" s="6">
        <f t="shared" si="27"/>
        <v>3229.197878875939</v>
      </c>
      <c r="AS27" s="18">
        <f t="shared" si="27"/>
        <v>7248.849898242514</v>
      </c>
      <c r="AT27" s="18">
        <f t="shared" si="27"/>
        <v>4566.775435892784</v>
      </c>
      <c r="AU27" s="6">
        <f aca="true" t="shared" si="33" ref="AU27:AV46">$B27*AU$6</f>
        <v>10251.421837701393</v>
      </c>
      <c r="AV27" s="6">
        <f t="shared" si="33"/>
        <v>6355.881539374864</v>
      </c>
    </row>
    <row r="28" spans="1:48" ht="15">
      <c r="A28" s="24" t="s">
        <v>31</v>
      </c>
      <c r="B28" s="5">
        <f>SQRT((1.25+14.48)/14.73)</f>
        <v>1.0333869858834814</v>
      </c>
      <c r="C28" s="6">
        <f t="shared" si="14"/>
        <v>284.18142111795737</v>
      </c>
      <c r="D28" s="6">
        <f t="shared" si="15"/>
        <v>180.84272252960926</v>
      </c>
      <c r="E28" s="6">
        <f t="shared" si="0"/>
        <v>258.34674647087036</v>
      </c>
      <c r="F28" s="6">
        <f t="shared" si="16"/>
        <v>180.84272252960926</v>
      </c>
      <c r="G28" s="6">
        <f t="shared" si="17"/>
        <v>428.8555991416448</v>
      </c>
      <c r="H28" s="6">
        <f t="shared" si="1"/>
        <v>268.6806163297052</v>
      </c>
      <c r="I28" s="18">
        <f t="shared" si="1"/>
        <v>606.4934046057537</v>
      </c>
      <c r="J28" s="18">
        <f t="shared" si="1"/>
        <v>379.97177156023116</v>
      </c>
      <c r="K28" s="6">
        <f t="shared" si="18"/>
        <v>930.0482872951333</v>
      </c>
      <c r="L28" s="6">
        <f t="shared" si="30"/>
        <v>537.3612326594103</v>
      </c>
      <c r="M28" s="6">
        <f t="shared" si="30"/>
        <v>775.0402394126111</v>
      </c>
      <c r="N28" s="6">
        <f t="shared" si="20"/>
        <v>488.27535082994495</v>
      </c>
      <c r="O28" s="18">
        <f t="shared" si="20"/>
        <v>1096.0724179622052</v>
      </c>
      <c r="P28" s="18">
        <f t="shared" si="21"/>
        <v>691.2563382614975</v>
      </c>
      <c r="Q28" s="6">
        <f aca="true" t="shared" si="34" ref="Q28:S47">$B28*Q$6</f>
        <v>1653.4191774135702</v>
      </c>
      <c r="R28" s="6">
        <f t="shared" si="34"/>
        <v>1023.0531160246467</v>
      </c>
      <c r="S28" s="6">
        <f t="shared" si="34"/>
        <v>826.7095887067851</v>
      </c>
      <c r="T28" s="6">
        <f t="shared" si="22"/>
        <v>520.8270408852746</v>
      </c>
      <c r="U28" s="18">
        <f t="shared" si="22"/>
        <v>1169.143912493019</v>
      </c>
      <c r="V28" s="18">
        <f t="shared" si="22"/>
        <v>736.560664870602</v>
      </c>
      <c r="W28" s="6">
        <f t="shared" si="31"/>
        <v>1653.4191774135702</v>
      </c>
      <c r="X28" s="6">
        <f t="shared" si="31"/>
        <v>1023.0531160246467</v>
      </c>
      <c r="Y28" s="6">
        <f t="shared" si="31"/>
        <v>1033.3869858834814</v>
      </c>
      <c r="Z28" s="6">
        <f t="shared" si="23"/>
        <v>651.0338011065933</v>
      </c>
      <c r="AA28" s="18">
        <f t="shared" si="23"/>
        <v>1461.4298906162737</v>
      </c>
      <c r="AB28" s="18">
        <f t="shared" si="23"/>
        <v>920.7008310882524</v>
      </c>
      <c r="AC28" s="6">
        <f t="shared" si="32"/>
        <v>2273.451368943659</v>
      </c>
      <c r="AD28" s="6">
        <f t="shared" si="32"/>
        <v>1405.4063008015348</v>
      </c>
      <c r="AE28" s="6">
        <f t="shared" si="32"/>
        <v>1498.4111295310481</v>
      </c>
      <c r="AF28" s="6">
        <f t="shared" si="28"/>
        <v>943.9990116045603</v>
      </c>
      <c r="AG28" s="18">
        <f t="shared" si="28"/>
        <v>2119.073341393597</v>
      </c>
      <c r="AH28" s="18">
        <f t="shared" si="28"/>
        <v>1335.0162050779659</v>
      </c>
      <c r="AI28" s="6">
        <f t="shared" si="29"/>
        <v>3100.1609576504443</v>
      </c>
      <c r="AJ28" s="6">
        <f t="shared" si="29"/>
        <v>1922.0997937432755</v>
      </c>
      <c r="AK28" s="6">
        <f t="shared" si="25"/>
        <v>2583.4674647087036</v>
      </c>
      <c r="AL28" s="6">
        <f t="shared" si="25"/>
        <v>1210.9228700582635</v>
      </c>
      <c r="AM28" s="18">
        <f t="shared" si="25"/>
        <v>3653.5747265406844</v>
      </c>
      <c r="AN28" s="18">
        <f t="shared" si="25"/>
        <v>1712.5035458241493</v>
      </c>
      <c r="AO28" s="6">
        <f t="shared" si="26"/>
        <v>5166.934929417407</v>
      </c>
      <c r="AP28" s="6">
        <f t="shared" si="26"/>
        <v>3203.4996562387923</v>
      </c>
      <c r="AQ28" s="6">
        <f t="shared" si="27"/>
        <v>5166.934929417407</v>
      </c>
      <c r="AR28" s="6">
        <f t="shared" si="27"/>
        <v>3255.1690055329664</v>
      </c>
      <c r="AS28" s="18">
        <f t="shared" si="27"/>
        <v>7307.149453081369</v>
      </c>
      <c r="AT28" s="18">
        <f t="shared" si="27"/>
        <v>4603.504155441262</v>
      </c>
      <c r="AU28" s="6">
        <f t="shared" si="33"/>
        <v>10333.869858834814</v>
      </c>
      <c r="AV28" s="6">
        <f t="shared" si="33"/>
        <v>6406.999312477585</v>
      </c>
    </row>
    <row r="29" spans="1:48" ht="15">
      <c r="A29" s="24" t="s">
        <v>32</v>
      </c>
      <c r="B29" s="5">
        <f>SQRT((1.5+14.48)/14.73)</f>
        <v>1.0415665260758353</v>
      </c>
      <c r="C29" s="6">
        <f t="shared" si="14"/>
        <v>286.4307946708547</v>
      </c>
      <c r="D29" s="6">
        <f t="shared" si="15"/>
        <v>182.27414206327117</v>
      </c>
      <c r="E29" s="6">
        <f t="shared" si="0"/>
        <v>260.39163151895883</v>
      </c>
      <c r="F29" s="6">
        <f t="shared" si="16"/>
        <v>182.27414206327117</v>
      </c>
      <c r="G29" s="6">
        <f t="shared" si="17"/>
        <v>432.25010832147166</v>
      </c>
      <c r="H29" s="6">
        <f t="shared" si="1"/>
        <v>270.8072967797172</v>
      </c>
      <c r="I29" s="18">
        <f t="shared" si="1"/>
        <v>611.2939655254647</v>
      </c>
      <c r="J29" s="18">
        <f t="shared" si="1"/>
        <v>382.97935189547184</v>
      </c>
      <c r="K29" s="6">
        <f t="shared" si="18"/>
        <v>937.4098734682518</v>
      </c>
      <c r="L29" s="6">
        <f t="shared" si="30"/>
        <v>541.6145935594344</v>
      </c>
      <c r="M29" s="6">
        <f t="shared" si="30"/>
        <v>781.1748945568766</v>
      </c>
      <c r="N29" s="6">
        <f t="shared" si="20"/>
        <v>492.1401835708322</v>
      </c>
      <c r="O29" s="18">
        <f t="shared" si="20"/>
        <v>1104.7481304677074</v>
      </c>
      <c r="P29" s="18">
        <f t="shared" si="21"/>
        <v>696.7278209483007</v>
      </c>
      <c r="Q29" s="6">
        <f t="shared" si="34"/>
        <v>1666.5064417213366</v>
      </c>
      <c r="R29" s="6">
        <f t="shared" si="34"/>
        <v>1031.150860815077</v>
      </c>
      <c r="S29" s="6">
        <f t="shared" si="34"/>
        <v>833.2532208606683</v>
      </c>
      <c r="T29" s="6">
        <f t="shared" si="22"/>
        <v>524.949529142221</v>
      </c>
      <c r="U29" s="18">
        <f t="shared" si="22"/>
        <v>1178.398005832221</v>
      </c>
      <c r="V29" s="18">
        <f t="shared" si="22"/>
        <v>742.3907436742993</v>
      </c>
      <c r="W29" s="6">
        <f t="shared" si="31"/>
        <v>1666.5064417213366</v>
      </c>
      <c r="X29" s="6">
        <f t="shared" si="31"/>
        <v>1031.150860815077</v>
      </c>
      <c r="Y29" s="6">
        <f t="shared" si="31"/>
        <v>1041.5665260758353</v>
      </c>
      <c r="Z29" s="6">
        <f t="shared" si="23"/>
        <v>656.1869114277763</v>
      </c>
      <c r="AA29" s="18">
        <f t="shared" si="23"/>
        <v>1472.9975072902764</v>
      </c>
      <c r="AB29" s="18">
        <f t="shared" si="23"/>
        <v>927.9884295928741</v>
      </c>
      <c r="AC29" s="6">
        <f t="shared" si="32"/>
        <v>2291.4463573668377</v>
      </c>
      <c r="AD29" s="6">
        <f t="shared" si="32"/>
        <v>1416.530475463136</v>
      </c>
      <c r="AE29" s="6">
        <f t="shared" si="32"/>
        <v>1510.2714628099611</v>
      </c>
      <c r="AF29" s="6">
        <f t="shared" si="28"/>
        <v>951.4710215702755</v>
      </c>
      <c r="AG29" s="18">
        <f t="shared" si="28"/>
        <v>2135.846385570901</v>
      </c>
      <c r="AH29" s="18">
        <f t="shared" si="28"/>
        <v>1345.5832229096675</v>
      </c>
      <c r="AI29" s="6">
        <f t="shared" si="29"/>
        <v>3124.699578227506</v>
      </c>
      <c r="AJ29" s="6">
        <f t="shared" si="29"/>
        <v>1937.3137385010536</v>
      </c>
      <c r="AK29" s="6">
        <f t="shared" si="25"/>
        <v>2603.916315189588</v>
      </c>
      <c r="AL29" s="6">
        <f t="shared" si="25"/>
        <v>1220.5076552556638</v>
      </c>
      <c r="AM29" s="18">
        <f t="shared" si="25"/>
        <v>3682.493768225691</v>
      </c>
      <c r="AN29" s="18">
        <f t="shared" si="25"/>
        <v>1726.0584790427458</v>
      </c>
      <c r="AO29" s="6">
        <f t="shared" si="26"/>
        <v>5207.832630379176</v>
      </c>
      <c r="AP29" s="6">
        <f t="shared" si="26"/>
        <v>3228.8562308350897</v>
      </c>
      <c r="AQ29" s="6">
        <f t="shared" si="27"/>
        <v>5207.832630379176</v>
      </c>
      <c r="AR29" s="6">
        <f t="shared" si="27"/>
        <v>3280.9345571388812</v>
      </c>
      <c r="AS29" s="18">
        <f t="shared" si="27"/>
        <v>7364.987536451382</v>
      </c>
      <c r="AT29" s="18">
        <f t="shared" si="27"/>
        <v>4639.942147964371</v>
      </c>
      <c r="AU29" s="6">
        <f t="shared" si="33"/>
        <v>10415.665260758353</v>
      </c>
      <c r="AV29" s="6">
        <f t="shared" si="33"/>
        <v>6457.712461670179</v>
      </c>
    </row>
    <row r="30" spans="1:48" ht="15">
      <c r="A30" s="24" t="s">
        <v>33</v>
      </c>
      <c r="B30" s="5">
        <f>SQRT((1.75+14.48)/14.73)</f>
        <v>1.0496823299884688</v>
      </c>
      <c r="C30" s="6">
        <f t="shared" si="14"/>
        <v>288.6626407468289</v>
      </c>
      <c r="D30" s="6">
        <f t="shared" si="15"/>
        <v>183.69440774798204</v>
      </c>
      <c r="E30" s="6">
        <f t="shared" si="0"/>
        <v>262.4205824971172</v>
      </c>
      <c r="F30" s="6">
        <f t="shared" si="16"/>
        <v>183.69440774798204</v>
      </c>
      <c r="G30" s="6">
        <f t="shared" si="17"/>
        <v>435.61816694521457</v>
      </c>
      <c r="H30" s="6">
        <f t="shared" si="1"/>
        <v>272.9174057970019</v>
      </c>
      <c r="I30" s="18">
        <f t="shared" si="1"/>
        <v>616.0571197100296</v>
      </c>
      <c r="J30" s="18">
        <f t="shared" si="1"/>
        <v>385.9634966858016</v>
      </c>
      <c r="K30" s="6">
        <f t="shared" si="18"/>
        <v>944.7140969896219</v>
      </c>
      <c r="L30" s="6">
        <f t="shared" si="30"/>
        <v>545.8348115940038</v>
      </c>
      <c r="M30" s="6">
        <f t="shared" si="30"/>
        <v>787.2617474913516</v>
      </c>
      <c r="N30" s="6">
        <f t="shared" si="20"/>
        <v>495.9749009195515</v>
      </c>
      <c r="O30" s="18">
        <f t="shared" si="20"/>
        <v>1113.3562404398126</v>
      </c>
      <c r="P30" s="18">
        <f t="shared" si="21"/>
        <v>702.1566689707083</v>
      </c>
      <c r="Q30" s="6">
        <f t="shared" si="34"/>
        <v>1679.49172798155</v>
      </c>
      <c r="R30" s="6">
        <f t="shared" si="34"/>
        <v>1039.1855066885842</v>
      </c>
      <c r="S30" s="6">
        <f t="shared" si="34"/>
        <v>839.745863990775</v>
      </c>
      <c r="T30" s="6">
        <f t="shared" si="22"/>
        <v>529.0398943141882</v>
      </c>
      <c r="U30" s="18">
        <f t="shared" si="22"/>
        <v>1187.5799898024666</v>
      </c>
      <c r="V30" s="18">
        <f t="shared" si="22"/>
        <v>748.1753935755539</v>
      </c>
      <c r="W30" s="6">
        <f t="shared" si="31"/>
        <v>1679.49172798155</v>
      </c>
      <c r="X30" s="6">
        <f t="shared" si="31"/>
        <v>1039.1855066885842</v>
      </c>
      <c r="Y30" s="6">
        <f t="shared" si="31"/>
        <v>1049.6823299884688</v>
      </c>
      <c r="Z30" s="6">
        <f t="shared" si="23"/>
        <v>661.2998678927353</v>
      </c>
      <c r="AA30" s="18">
        <f t="shared" si="23"/>
        <v>1484.474987253083</v>
      </c>
      <c r="AB30" s="18">
        <f t="shared" si="23"/>
        <v>935.2192419694424</v>
      </c>
      <c r="AC30" s="6">
        <f t="shared" si="32"/>
        <v>2309.3011259746313</v>
      </c>
      <c r="AD30" s="6">
        <f t="shared" si="32"/>
        <v>1427.5679687843176</v>
      </c>
      <c r="AE30" s="6">
        <f t="shared" si="32"/>
        <v>1522.0393784832797</v>
      </c>
      <c r="AF30" s="6">
        <f t="shared" si="28"/>
        <v>958.8848084444662</v>
      </c>
      <c r="AG30" s="18">
        <f t="shared" si="28"/>
        <v>2152.488731516971</v>
      </c>
      <c r="AH30" s="18">
        <f t="shared" si="28"/>
        <v>1356.0679008556915</v>
      </c>
      <c r="AI30" s="6">
        <f t="shared" si="29"/>
        <v>3149.0469899654063</v>
      </c>
      <c r="AJ30" s="6">
        <f t="shared" si="29"/>
        <v>1952.409133778552</v>
      </c>
      <c r="AK30" s="6">
        <f t="shared" si="25"/>
        <v>2624.2058249711718</v>
      </c>
      <c r="AL30" s="6">
        <f t="shared" si="25"/>
        <v>1230.0177542804877</v>
      </c>
      <c r="AM30" s="18">
        <f t="shared" si="25"/>
        <v>3711.187468132708</v>
      </c>
      <c r="AN30" s="18">
        <f t="shared" si="25"/>
        <v>1739.507790063163</v>
      </c>
      <c r="AO30" s="6">
        <f t="shared" si="26"/>
        <v>5248.4116499423435</v>
      </c>
      <c r="AP30" s="6">
        <f t="shared" si="26"/>
        <v>3254.015222964253</v>
      </c>
      <c r="AQ30" s="6">
        <f t="shared" si="27"/>
        <v>5248.4116499423435</v>
      </c>
      <c r="AR30" s="6">
        <f t="shared" si="27"/>
        <v>3306.4993394636767</v>
      </c>
      <c r="AS30" s="18">
        <f t="shared" si="27"/>
        <v>7422.374936265416</v>
      </c>
      <c r="AT30" s="18">
        <f t="shared" si="27"/>
        <v>4676.096209847212</v>
      </c>
      <c r="AU30" s="6">
        <f t="shared" si="33"/>
        <v>10496.823299884687</v>
      </c>
      <c r="AV30" s="6">
        <f t="shared" si="33"/>
        <v>6508.030445928506</v>
      </c>
    </row>
    <row r="31" spans="1:48" ht="15">
      <c r="A31" s="24" t="s">
        <v>34</v>
      </c>
      <c r="B31" s="5">
        <f>SQRT((2+14.48)/14.73)</f>
        <v>1.057735864731057</v>
      </c>
      <c r="C31" s="6">
        <f t="shared" si="14"/>
        <v>290.8773628010407</v>
      </c>
      <c r="D31" s="6">
        <f t="shared" si="15"/>
        <v>185.10377632793498</v>
      </c>
      <c r="E31" s="6">
        <f t="shared" si="0"/>
        <v>264.43396618276427</v>
      </c>
      <c r="F31" s="6">
        <f t="shared" si="16"/>
        <v>185.10377632793498</v>
      </c>
      <c r="G31" s="6">
        <f t="shared" si="17"/>
        <v>438.9603838633887</v>
      </c>
      <c r="H31" s="6">
        <f t="shared" si="1"/>
        <v>275.01132483007484</v>
      </c>
      <c r="I31" s="18">
        <f t="shared" si="1"/>
        <v>620.7837282041042</v>
      </c>
      <c r="J31" s="18">
        <f t="shared" si="1"/>
        <v>388.9247453808846</v>
      </c>
      <c r="K31" s="6">
        <f t="shared" si="18"/>
        <v>951.9622782579513</v>
      </c>
      <c r="L31" s="6">
        <f t="shared" si="30"/>
        <v>550.0226496601497</v>
      </c>
      <c r="M31" s="6">
        <f t="shared" si="30"/>
        <v>793.3018985482928</v>
      </c>
      <c r="N31" s="6">
        <f t="shared" si="20"/>
        <v>499.78019608542445</v>
      </c>
      <c r="O31" s="18">
        <f t="shared" si="20"/>
        <v>1121.898303983321</v>
      </c>
      <c r="P31" s="18">
        <f t="shared" si="21"/>
        <v>707.5438637121478</v>
      </c>
      <c r="Q31" s="6">
        <f t="shared" si="34"/>
        <v>1692.3773835696913</v>
      </c>
      <c r="R31" s="6">
        <f t="shared" si="34"/>
        <v>1047.1585060837465</v>
      </c>
      <c r="S31" s="6">
        <f t="shared" si="34"/>
        <v>846.1886917848457</v>
      </c>
      <c r="T31" s="6">
        <f t="shared" si="22"/>
        <v>533.0988758244528</v>
      </c>
      <c r="U31" s="18">
        <f t="shared" si="22"/>
        <v>1196.6915242488756</v>
      </c>
      <c r="V31" s="18">
        <f t="shared" si="22"/>
        <v>753.9156602767916</v>
      </c>
      <c r="W31" s="6">
        <f t="shared" si="31"/>
        <v>1692.3773835696913</v>
      </c>
      <c r="X31" s="6">
        <f t="shared" si="31"/>
        <v>1047.1585060837465</v>
      </c>
      <c r="Y31" s="6">
        <f t="shared" si="31"/>
        <v>1057.735864731057</v>
      </c>
      <c r="Z31" s="6">
        <f t="shared" si="23"/>
        <v>666.373594780566</v>
      </c>
      <c r="AA31" s="18">
        <f t="shared" si="23"/>
        <v>1495.8644053110945</v>
      </c>
      <c r="AB31" s="18">
        <f t="shared" si="23"/>
        <v>942.3945753459896</v>
      </c>
      <c r="AC31" s="6">
        <f t="shared" si="32"/>
        <v>2327.0189024083256</v>
      </c>
      <c r="AD31" s="6">
        <f t="shared" si="32"/>
        <v>1438.5207760342375</v>
      </c>
      <c r="AE31" s="6">
        <f t="shared" si="32"/>
        <v>1533.7170038600327</v>
      </c>
      <c r="AF31" s="6">
        <f t="shared" si="28"/>
        <v>966.2417124318206</v>
      </c>
      <c r="AG31" s="18">
        <f t="shared" si="28"/>
        <v>2169.003387701087</v>
      </c>
      <c r="AH31" s="18">
        <f t="shared" si="28"/>
        <v>1366.4721342516848</v>
      </c>
      <c r="AI31" s="6">
        <f t="shared" si="29"/>
        <v>3173.207594193171</v>
      </c>
      <c r="AJ31" s="6">
        <f t="shared" si="29"/>
        <v>1967.388708399766</v>
      </c>
      <c r="AK31" s="6">
        <f t="shared" si="25"/>
        <v>2644.339661827643</v>
      </c>
      <c r="AL31" s="6">
        <f t="shared" si="25"/>
        <v>1239.4548862918527</v>
      </c>
      <c r="AM31" s="18">
        <f t="shared" si="25"/>
        <v>3739.6610132777364</v>
      </c>
      <c r="AN31" s="18">
        <f t="shared" si="25"/>
        <v>1752.8539101435404</v>
      </c>
      <c r="AO31" s="6">
        <f t="shared" si="26"/>
        <v>5288.679323655286</v>
      </c>
      <c r="AP31" s="6">
        <f t="shared" si="26"/>
        <v>3278.981180666277</v>
      </c>
      <c r="AQ31" s="6">
        <f t="shared" si="27"/>
        <v>5288.679323655286</v>
      </c>
      <c r="AR31" s="6">
        <f t="shared" si="27"/>
        <v>3331.86797390283</v>
      </c>
      <c r="AS31" s="18">
        <f t="shared" si="27"/>
        <v>7479.322026555473</v>
      </c>
      <c r="AT31" s="18">
        <f t="shared" si="27"/>
        <v>4711.9728767299475</v>
      </c>
      <c r="AU31" s="6">
        <f t="shared" si="33"/>
        <v>10577.358647310572</v>
      </c>
      <c r="AV31" s="6">
        <f t="shared" si="33"/>
        <v>6557.962361332554</v>
      </c>
    </row>
    <row r="32" spans="1:48" ht="15">
      <c r="A32" s="24" t="s">
        <v>35</v>
      </c>
      <c r="B32" s="5">
        <f>SQRT((2.25+14.48)/14.73)</f>
        <v>1.0657285419780658</v>
      </c>
      <c r="C32" s="6">
        <f t="shared" si="14"/>
        <v>293.07534904396806</v>
      </c>
      <c r="D32" s="6">
        <f t="shared" si="15"/>
        <v>186.5024948461615</v>
      </c>
      <c r="E32" s="6">
        <f t="shared" si="0"/>
        <v>266.43213549451644</v>
      </c>
      <c r="F32" s="6">
        <f t="shared" si="16"/>
        <v>186.5024948461615</v>
      </c>
      <c r="G32" s="6">
        <f t="shared" si="17"/>
        <v>442.2773449208973</v>
      </c>
      <c r="H32" s="6">
        <f t="shared" si="1"/>
        <v>277.0894209142971</v>
      </c>
      <c r="I32" s="18">
        <f t="shared" si="1"/>
        <v>625.4746195174963</v>
      </c>
      <c r="J32" s="18">
        <f t="shared" si="1"/>
        <v>391.8636170471061</v>
      </c>
      <c r="K32" s="6">
        <f t="shared" si="18"/>
        <v>959.1556877802592</v>
      </c>
      <c r="L32" s="6">
        <f t="shared" si="30"/>
        <v>554.1788418285942</v>
      </c>
      <c r="M32" s="6">
        <f t="shared" si="30"/>
        <v>799.2964064835493</v>
      </c>
      <c r="N32" s="6">
        <f t="shared" si="20"/>
        <v>503.5567360846361</v>
      </c>
      <c r="O32" s="18">
        <f t="shared" si="20"/>
        <v>1130.375818405114</v>
      </c>
      <c r="P32" s="18">
        <f t="shared" si="21"/>
        <v>712.8903494741585</v>
      </c>
      <c r="Q32" s="6">
        <f t="shared" si="34"/>
        <v>1705.1656671649052</v>
      </c>
      <c r="R32" s="6">
        <f t="shared" si="34"/>
        <v>1055.071256558285</v>
      </c>
      <c r="S32" s="6">
        <f t="shared" si="34"/>
        <v>852.5828335824526</v>
      </c>
      <c r="T32" s="6">
        <f t="shared" si="22"/>
        <v>537.1271851569452</v>
      </c>
      <c r="U32" s="18">
        <f t="shared" si="22"/>
        <v>1205.734206298788</v>
      </c>
      <c r="V32" s="18">
        <f t="shared" si="22"/>
        <v>759.6125499682365</v>
      </c>
      <c r="W32" s="6">
        <f t="shared" si="31"/>
        <v>1705.1656671649052</v>
      </c>
      <c r="X32" s="6">
        <f t="shared" si="31"/>
        <v>1055.071256558285</v>
      </c>
      <c r="Y32" s="6">
        <f t="shared" si="31"/>
        <v>1065.7285419780658</v>
      </c>
      <c r="Z32" s="6">
        <f t="shared" si="23"/>
        <v>671.4089814461814</v>
      </c>
      <c r="AA32" s="18">
        <f t="shared" si="23"/>
        <v>1507.167757873485</v>
      </c>
      <c r="AB32" s="18">
        <f t="shared" si="23"/>
        <v>949.5156874602956</v>
      </c>
      <c r="AC32" s="6">
        <f t="shared" si="32"/>
        <v>2344.6027923517445</v>
      </c>
      <c r="AD32" s="6">
        <f t="shared" si="32"/>
        <v>1449.3908170901695</v>
      </c>
      <c r="AE32" s="6">
        <f t="shared" si="32"/>
        <v>1545.3063858681953</v>
      </c>
      <c r="AF32" s="6">
        <f t="shared" si="28"/>
        <v>973.5430230969631</v>
      </c>
      <c r="AG32" s="18">
        <f t="shared" si="28"/>
        <v>2185.3932489165536</v>
      </c>
      <c r="AH32" s="18">
        <f t="shared" si="28"/>
        <v>1376.7977468174286</v>
      </c>
      <c r="AI32" s="6">
        <f t="shared" si="29"/>
        <v>3197.185625934197</v>
      </c>
      <c r="AJ32" s="6">
        <f t="shared" si="29"/>
        <v>1982.2550880792023</v>
      </c>
      <c r="AK32" s="6">
        <f t="shared" si="25"/>
        <v>2664.3213549451643</v>
      </c>
      <c r="AL32" s="6">
        <f t="shared" si="25"/>
        <v>1248.8207054898974</v>
      </c>
      <c r="AM32" s="18">
        <f t="shared" si="25"/>
        <v>3767.9193946837127</v>
      </c>
      <c r="AN32" s="18">
        <f t="shared" si="25"/>
        <v>1766.0991786761497</v>
      </c>
      <c r="AO32" s="6">
        <f t="shared" si="26"/>
        <v>5328.642709890329</v>
      </c>
      <c r="AP32" s="6">
        <f t="shared" si="26"/>
        <v>3303.758480132004</v>
      </c>
      <c r="AQ32" s="6">
        <f t="shared" si="27"/>
        <v>5328.642709890329</v>
      </c>
      <c r="AR32" s="6">
        <f t="shared" si="27"/>
        <v>3357.044907230907</v>
      </c>
      <c r="AS32" s="18">
        <f t="shared" si="27"/>
        <v>7535.838789367425</v>
      </c>
      <c r="AT32" s="18">
        <f t="shared" si="27"/>
        <v>4747.578437301478</v>
      </c>
      <c r="AU32" s="6">
        <f t="shared" si="33"/>
        <v>10657.285419780657</v>
      </c>
      <c r="AV32" s="6">
        <f t="shared" si="33"/>
        <v>6607.516960264008</v>
      </c>
    </row>
    <row r="33" spans="1:48" ht="15">
      <c r="A33" s="24" t="s">
        <v>36</v>
      </c>
      <c r="B33" s="5">
        <f>SQRT((2.5+14.48)/14.73)</f>
        <v>1.0736617208576595</v>
      </c>
      <c r="C33" s="6">
        <f t="shared" si="14"/>
        <v>295.2569732358564</v>
      </c>
      <c r="D33" s="6">
        <f t="shared" si="15"/>
        <v>187.89080115009043</v>
      </c>
      <c r="E33" s="6">
        <f t="shared" si="0"/>
        <v>268.41543021441487</v>
      </c>
      <c r="F33" s="6">
        <f t="shared" si="16"/>
        <v>187.89080115009043</v>
      </c>
      <c r="G33" s="6">
        <f t="shared" si="17"/>
        <v>445.5696141559287</v>
      </c>
      <c r="H33" s="6">
        <f t="shared" si="1"/>
        <v>279.1520474229915</v>
      </c>
      <c r="I33" s="18">
        <f t="shared" si="1"/>
        <v>630.1305913206614</v>
      </c>
      <c r="J33" s="18">
        <f t="shared" si="1"/>
        <v>394.780611429812</v>
      </c>
      <c r="K33" s="6">
        <f t="shared" si="18"/>
        <v>966.2955487718936</v>
      </c>
      <c r="L33" s="6">
        <f t="shared" si="30"/>
        <v>558.304094845983</v>
      </c>
      <c r="M33" s="6">
        <f t="shared" si="30"/>
        <v>805.2462906432446</v>
      </c>
      <c r="N33" s="6">
        <f t="shared" si="20"/>
        <v>507.3051631052441</v>
      </c>
      <c r="O33" s="18">
        <f t="shared" si="20"/>
        <v>1138.7902252783038</v>
      </c>
      <c r="P33" s="18">
        <f t="shared" si="21"/>
        <v>718.1970354088503</v>
      </c>
      <c r="Q33" s="6">
        <f t="shared" si="34"/>
        <v>1717.8587533722553</v>
      </c>
      <c r="R33" s="6">
        <f t="shared" si="34"/>
        <v>1062.925103649083</v>
      </c>
      <c r="S33" s="6">
        <f t="shared" si="34"/>
        <v>858.9293766861276</v>
      </c>
      <c r="T33" s="6">
        <f t="shared" si="22"/>
        <v>541.1255073122604</v>
      </c>
      <c r="U33" s="18">
        <f t="shared" si="22"/>
        <v>1214.7095736301906</v>
      </c>
      <c r="V33" s="18">
        <f t="shared" si="22"/>
        <v>765.2670313870202</v>
      </c>
      <c r="W33" s="6">
        <f t="shared" si="31"/>
        <v>1717.8587533722553</v>
      </c>
      <c r="X33" s="6">
        <f t="shared" si="31"/>
        <v>1062.925103649083</v>
      </c>
      <c r="Y33" s="6">
        <f t="shared" si="31"/>
        <v>1073.6617208576595</v>
      </c>
      <c r="Z33" s="6">
        <f t="shared" si="23"/>
        <v>676.4068841403255</v>
      </c>
      <c r="AA33" s="18">
        <f t="shared" si="23"/>
        <v>1518.3869670377383</v>
      </c>
      <c r="AB33" s="18">
        <f t="shared" si="23"/>
        <v>956.5837892337752</v>
      </c>
      <c r="AC33" s="6">
        <f t="shared" si="32"/>
        <v>2362.055785886851</v>
      </c>
      <c r="AD33" s="6">
        <f t="shared" si="32"/>
        <v>1460.179940366417</v>
      </c>
      <c r="AE33" s="6">
        <f t="shared" si="32"/>
        <v>1556.8094952436063</v>
      </c>
      <c r="AF33" s="6">
        <f t="shared" si="28"/>
        <v>980.789982003472</v>
      </c>
      <c r="AG33" s="18">
        <f t="shared" si="28"/>
        <v>2201.6611022047205</v>
      </c>
      <c r="AH33" s="18">
        <f t="shared" si="28"/>
        <v>1387.046494388974</v>
      </c>
      <c r="AI33" s="6">
        <f t="shared" si="29"/>
        <v>3220.9851625729784</v>
      </c>
      <c r="AJ33" s="6">
        <f t="shared" si="29"/>
        <v>1997.0108007952467</v>
      </c>
      <c r="AK33" s="6">
        <f t="shared" si="25"/>
        <v>2684.154302144149</v>
      </c>
      <c r="AL33" s="6">
        <f t="shared" si="25"/>
        <v>1258.1168045010054</v>
      </c>
      <c r="AM33" s="18">
        <f t="shared" si="25"/>
        <v>3795.967417594346</v>
      </c>
      <c r="AN33" s="18">
        <f t="shared" si="25"/>
        <v>1779.2458479748218</v>
      </c>
      <c r="AO33" s="6">
        <f t="shared" si="26"/>
        <v>5368.308604288298</v>
      </c>
      <c r="AP33" s="6">
        <f t="shared" si="26"/>
        <v>3328.3513346587447</v>
      </c>
      <c r="AQ33" s="6">
        <f t="shared" si="27"/>
        <v>5368.308604288298</v>
      </c>
      <c r="AR33" s="6">
        <f t="shared" si="27"/>
        <v>3382.0344207016274</v>
      </c>
      <c r="AS33" s="18">
        <f t="shared" si="27"/>
        <v>7591.934835188692</v>
      </c>
      <c r="AT33" s="18">
        <f t="shared" si="27"/>
        <v>4782.918946168876</v>
      </c>
      <c r="AU33" s="6">
        <f t="shared" si="33"/>
        <v>10736.617208576596</v>
      </c>
      <c r="AV33" s="6">
        <f t="shared" si="33"/>
        <v>6656.702669317489</v>
      </c>
    </row>
    <row r="34" spans="1:48" ht="15">
      <c r="A34" s="24" t="s">
        <v>37</v>
      </c>
      <c r="B34" s="5">
        <f>SQRT((2.75+14.48)/14.73)</f>
        <v>1.0815367106498823</v>
      </c>
      <c r="C34" s="6">
        <f t="shared" si="14"/>
        <v>297.4225954287176</v>
      </c>
      <c r="D34" s="6">
        <f t="shared" si="15"/>
        <v>189.2689243637294</v>
      </c>
      <c r="E34" s="6">
        <f t="shared" si="0"/>
        <v>270.38417766247056</v>
      </c>
      <c r="F34" s="6">
        <f t="shared" si="16"/>
        <v>189.2689243637294</v>
      </c>
      <c r="G34" s="6">
        <f t="shared" si="17"/>
        <v>448.8377349197012</v>
      </c>
      <c r="H34" s="6">
        <f t="shared" si="1"/>
        <v>281.1995447689694</v>
      </c>
      <c r="I34" s="18">
        <f t="shared" si="1"/>
        <v>634.7524120282616</v>
      </c>
      <c r="J34" s="18">
        <f t="shared" si="1"/>
        <v>397.6762099454169</v>
      </c>
      <c r="K34" s="6">
        <f t="shared" si="18"/>
        <v>973.383039584894</v>
      </c>
      <c r="L34" s="6">
        <f t="shared" si="30"/>
        <v>562.3990895379388</v>
      </c>
      <c r="M34" s="6">
        <f t="shared" si="30"/>
        <v>811.1525329874117</v>
      </c>
      <c r="N34" s="6">
        <f t="shared" si="20"/>
        <v>511.0260957820694</v>
      </c>
      <c r="O34" s="18">
        <f t="shared" si="20"/>
        <v>1147.1429133040872</v>
      </c>
      <c r="P34" s="18">
        <f t="shared" si="21"/>
        <v>723.4647973237776</v>
      </c>
      <c r="Q34" s="6">
        <f t="shared" si="34"/>
        <v>1730.4587370398117</v>
      </c>
      <c r="R34" s="6">
        <f t="shared" si="34"/>
        <v>1070.7213435433835</v>
      </c>
      <c r="S34" s="6">
        <f t="shared" si="34"/>
        <v>865.2293685199058</v>
      </c>
      <c r="T34" s="6">
        <f t="shared" si="22"/>
        <v>545.0945021675407</v>
      </c>
      <c r="U34" s="18">
        <f t="shared" si="22"/>
        <v>1223.6191075243596</v>
      </c>
      <c r="V34" s="18">
        <f t="shared" si="22"/>
        <v>770.8800377403466</v>
      </c>
      <c r="W34" s="6">
        <f t="shared" si="31"/>
        <v>1730.4587370398117</v>
      </c>
      <c r="X34" s="6">
        <f t="shared" si="31"/>
        <v>1070.7213435433835</v>
      </c>
      <c r="Y34" s="6">
        <f t="shared" si="31"/>
        <v>1081.5367106498823</v>
      </c>
      <c r="Z34" s="6">
        <f t="shared" si="23"/>
        <v>681.3681277094258</v>
      </c>
      <c r="AA34" s="18">
        <f t="shared" si="23"/>
        <v>1529.5238844054495</v>
      </c>
      <c r="AB34" s="18">
        <f t="shared" si="23"/>
        <v>963.6000471754331</v>
      </c>
      <c r="AC34" s="6">
        <f t="shared" si="32"/>
        <v>2379.380763429741</v>
      </c>
      <c r="AD34" s="6">
        <f t="shared" si="32"/>
        <v>1470.8899264838399</v>
      </c>
      <c r="AE34" s="6">
        <f t="shared" si="32"/>
        <v>1568.2282304423293</v>
      </c>
      <c r="AF34" s="6">
        <f t="shared" si="28"/>
        <v>987.9837851786675</v>
      </c>
      <c r="AG34" s="18">
        <f t="shared" si="28"/>
        <v>2217.8096323879017</v>
      </c>
      <c r="AH34" s="18">
        <f t="shared" si="28"/>
        <v>1397.220068404378</v>
      </c>
      <c r="AI34" s="6">
        <f t="shared" si="29"/>
        <v>3244.610131949647</v>
      </c>
      <c r="AJ34" s="6">
        <f t="shared" si="29"/>
        <v>2011.658281808781</v>
      </c>
      <c r="AK34" s="6">
        <f t="shared" si="25"/>
        <v>2703.8417766247057</v>
      </c>
      <c r="AL34" s="6">
        <f t="shared" si="25"/>
        <v>1267.344717539532</v>
      </c>
      <c r="AM34" s="18">
        <f t="shared" si="25"/>
        <v>3823.809711013624</v>
      </c>
      <c r="AN34" s="18">
        <f t="shared" si="25"/>
        <v>1792.2960877463056</v>
      </c>
      <c r="AO34" s="6">
        <f t="shared" si="26"/>
        <v>5407.6835532494115</v>
      </c>
      <c r="AP34" s="6">
        <f t="shared" si="26"/>
        <v>3352.7638030146354</v>
      </c>
      <c r="AQ34" s="6">
        <f t="shared" si="27"/>
        <v>5407.6835532494115</v>
      </c>
      <c r="AR34" s="6">
        <f t="shared" si="27"/>
        <v>3406.8406385471294</v>
      </c>
      <c r="AS34" s="18">
        <f t="shared" si="27"/>
        <v>7647.619422027248</v>
      </c>
      <c r="AT34" s="18">
        <f t="shared" si="27"/>
        <v>4818.000235877165</v>
      </c>
      <c r="AU34" s="6">
        <f t="shared" si="33"/>
        <v>10815.367106498823</v>
      </c>
      <c r="AV34" s="6">
        <f t="shared" si="33"/>
        <v>6705.527606029271</v>
      </c>
    </row>
    <row r="35" spans="1:48" ht="15">
      <c r="A35" s="24" t="s">
        <v>38</v>
      </c>
      <c r="B35" s="5">
        <f>SQRT((3+14.48)/14.73)</f>
        <v>1.0893547733092759</v>
      </c>
      <c r="C35" s="6">
        <f t="shared" si="14"/>
        <v>299.5725626600509</v>
      </c>
      <c r="D35" s="6">
        <f t="shared" si="15"/>
        <v>190.63708532912327</v>
      </c>
      <c r="E35" s="6">
        <f t="shared" si="0"/>
        <v>272.338693327319</v>
      </c>
      <c r="F35" s="6">
        <f t="shared" si="16"/>
        <v>190.63708532912327</v>
      </c>
      <c r="G35" s="6">
        <f t="shared" si="17"/>
        <v>452.08223092334947</v>
      </c>
      <c r="H35" s="6">
        <f t="shared" si="1"/>
        <v>283.23224106041175</v>
      </c>
      <c r="I35" s="18">
        <f t="shared" si="1"/>
        <v>639.3408222796863</v>
      </c>
      <c r="J35" s="18">
        <f t="shared" si="1"/>
        <v>400.5508766089601</v>
      </c>
      <c r="K35" s="6">
        <f t="shared" si="18"/>
        <v>980.4192959783483</v>
      </c>
      <c r="L35" s="6">
        <f t="shared" si="30"/>
        <v>566.4644821208235</v>
      </c>
      <c r="M35" s="6">
        <f t="shared" si="30"/>
        <v>817.0160799819569</v>
      </c>
      <c r="N35" s="6">
        <f t="shared" si="20"/>
        <v>514.7201303886328</v>
      </c>
      <c r="O35" s="18">
        <f t="shared" si="20"/>
        <v>1155.435220987385</v>
      </c>
      <c r="P35" s="18">
        <f t="shared" si="21"/>
        <v>728.6944793693774</v>
      </c>
      <c r="Q35" s="6">
        <f t="shared" si="34"/>
        <v>1742.9676372948413</v>
      </c>
      <c r="R35" s="6">
        <f t="shared" si="34"/>
        <v>1078.461225576183</v>
      </c>
      <c r="S35" s="6">
        <f t="shared" si="34"/>
        <v>871.4838186474207</v>
      </c>
      <c r="T35" s="6">
        <f t="shared" si="22"/>
        <v>549.034805747875</v>
      </c>
      <c r="U35" s="18">
        <f t="shared" si="22"/>
        <v>1232.4642357198773</v>
      </c>
      <c r="V35" s="18">
        <f t="shared" si="22"/>
        <v>776.4524685035227</v>
      </c>
      <c r="W35" s="6">
        <f t="shared" si="31"/>
        <v>1742.9676372948413</v>
      </c>
      <c r="X35" s="6">
        <f t="shared" si="31"/>
        <v>1078.461225576183</v>
      </c>
      <c r="Y35" s="6">
        <f t="shared" si="31"/>
        <v>1089.354773309276</v>
      </c>
      <c r="Z35" s="6">
        <f t="shared" si="23"/>
        <v>686.2935071848439</v>
      </c>
      <c r="AA35" s="18">
        <f t="shared" si="23"/>
        <v>1540.5802946498466</v>
      </c>
      <c r="AB35" s="18">
        <f t="shared" si="23"/>
        <v>970.5655856294032</v>
      </c>
      <c r="AC35" s="6">
        <f t="shared" si="32"/>
        <v>2396.580501280407</v>
      </c>
      <c r="AD35" s="6">
        <f t="shared" si="32"/>
        <v>1481.522491700615</v>
      </c>
      <c r="AE35" s="6">
        <f t="shared" si="32"/>
        <v>1579.56442129845</v>
      </c>
      <c r="AF35" s="6">
        <f t="shared" si="28"/>
        <v>995.1255854180235</v>
      </c>
      <c r="AG35" s="18">
        <f t="shared" si="28"/>
        <v>2233.8414272422774</v>
      </c>
      <c r="AH35" s="18">
        <f t="shared" si="28"/>
        <v>1407.3200991626347</v>
      </c>
      <c r="AI35" s="6">
        <f t="shared" si="29"/>
        <v>3268.0643199278275</v>
      </c>
      <c r="AJ35" s="6">
        <f t="shared" si="29"/>
        <v>2026.199878355253</v>
      </c>
      <c r="AK35" s="6">
        <f t="shared" si="25"/>
        <v>2723.3869332731897</v>
      </c>
      <c r="AL35" s="6">
        <f t="shared" si="25"/>
        <v>1276.5059233638094</v>
      </c>
      <c r="AM35" s="18">
        <f t="shared" si="25"/>
        <v>3851.4507366246166</v>
      </c>
      <c r="AN35" s="18">
        <f t="shared" si="25"/>
        <v>1805.25198927069</v>
      </c>
      <c r="AO35" s="6">
        <f t="shared" si="26"/>
        <v>5446.773866546379</v>
      </c>
      <c r="AP35" s="6">
        <f t="shared" si="26"/>
        <v>3376.9997972587553</v>
      </c>
      <c r="AQ35" s="6">
        <f t="shared" si="27"/>
        <v>5446.773866546379</v>
      </c>
      <c r="AR35" s="6">
        <f t="shared" si="27"/>
        <v>3431.467535924219</v>
      </c>
      <c r="AS35" s="18">
        <f t="shared" si="27"/>
        <v>7702.901473249233</v>
      </c>
      <c r="AT35" s="18">
        <f t="shared" si="27"/>
        <v>4852.827928147017</v>
      </c>
      <c r="AU35" s="6">
        <f t="shared" si="33"/>
        <v>10893.547733092759</v>
      </c>
      <c r="AV35" s="6">
        <f t="shared" si="33"/>
        <v>6753.999594517511</v>
      </c>
    </row>
    <row r="36" spans="1:48" ht="15">
      <c r="A36" s="24" t="s">
        <v>39</v>
      </c>
      <c r="B36" s="5">
        <f>SQRT((3.25+14.48)/14.73)</f>
        <v>1.097117125825698</v>
      </c>
      <c r="C36" s="6">
        <f t="shared" si="14"/>
        <v>301.70720960206694</v>
      </c>
      <c r="D36" s="6">
        <f t="shared" si="15"/>
        <v>191.99549701949715</v>
      </c>
      <c r="E36" s="6">
        <f t="shared" si="0"/>
        <v>274.2792814564245</v>
      </c>
      <c r="F36" s="6">
        <f t="shared" si="16"/>
        <v>191.99549701949715</v>
      </c>
      <c r="G36" s="6">
        <f t="shared" si="17"/>
        <v>455.30360721766465</v>
      </c>
      <c r="H36" s="6">
        <f t="shared" si="1"/>
        <v>285.2504527146815</v>
      </c>
      <c r="I36" s="18">
        <f t="shared" si="1"/>
        <v>643.8965363246141</v>
      </c>
      <c r="J36" s="18">
        <f t="shared" si="1"/>
        <v>403.4050589021678</v>
      </c>
      <c r="K36" s="6">
        <f t="shared" si="18"/>
        <v>987.4054132431282</v>
      </c>
      <c r="L36" s="6">
        <f t="shared" si="30"/>
        <v>570.500905429363</v>
      </c>
      <c r="M36" s="6">
        <f t="shared" si="30"/>
        <v>822.8378443692735</v>
      </c>
      <c r="N36" s="6">
        <f t="shared" si="20"/>
        <v>518.3878419526422</v>
      </c>
      <c r="O36" s="18">
        <f t="shared" si="20"/>
        <v>1163.6684391408687</v>
      </c>
      <c r="P36" s="18">
        <f t="shared" si="21"/>
        <v>733.8868956181745</v>
      </c>
      <c r="Q36" s="6">
        <f t="shared" si="34"/>
        <v>1755.3874013211168</v>
      </c>
      <c r="R36" s="6">
        <f t="shared" si="34"/>
        <v>1086.145954567441</v>
      </c>
      <c r="S36" s="6">
        <f t="shared" si="34"/>
        <v>877.6937006605584</v>
      </c>
      <c r="T36" s="6">
        <f t="shared" si="22"/>
        <v>552.9470314161517</v>
      </c>
      <c r="U36" s="18">
        <f t="shared" si="22"/>
        <v>1241.2463350835933</v>
      </c>
      <c r="V36" s="18">
        <f t="shared" si="22"/>
        <v>781.9851911026637</v>
      </c>
      <c r="W36" s="6">
        <f t="shared" si="31"/>
        <v>1755.3874013211168</v>
      </c>
      <c r="X36" s="6">
        <f t="shared" si="31"/>
        <v>1086.145954567441</v>
      </c>
      <c r="Y36" s="6">
        <f t="shared" si="31"/>
        <v>1097.117125825698</v>
      </c>
      <c r="Z36" s="6">
        <f t="shared" si="23"/>
        <v>691.1837892701898</v>
      </c>
      <c r="AA36" s="18">
        <f t="shared" si="23"/>
        <v>1551.5579188544916</v>
      </c>
      <c r="AB36" s="18">
        <f t="shared" si="23"/>
        <v>977.4814888783296</v>
      </c>
      <c r="AC36" s="6">
        <f t="shared" si="32"/>
        <v>2413.6576768165355</v>
      </c>
      <c r="AD36" s="6">
        <f t="shared" si="32"/>
        <v>1492.0792911229491</v>
      </c>
      <c r="AE36" s="6">
        <f t="shared" si="32"/>
        <v>1590.8198324472621</v>
      </c>
      <c r="AF36" s="6">
        <f t="shared" si="28"/>
        <v>1002.2164944417751</v>
      </c>
      <c r="AG36" s="18">
        <f t="shared" si="28"/>
        <v>2249.758982339013</v>
      </c>
      <c r="AH36" s="18">
        <f t="shared" si="28"/>
        <v>1417.348158873578</v>
      </c>
      <c r="AI36" s="6">
        <f t="shared" si="29"/>
        <v>3291.351377477094</v>
      </c>
      <c r="AJ36" s="6">
        <f t="shared" si="29"/>
        <v>2040.6378540357982</v>
      </c>
      <c r="AK36" s="6">
        <f t="shared" si="25"/>
        <v>2742.792814564245</v>
      </c>
      <c r="AL36" s="6">
        <f t="shared" si="25"/>
        <v>1285.6018480425528</v>
      </c>
      <c r="AM36" s="18">
        <f t="shared" si="25"/>
        <v>3878.894797136229</v>
      </c>
      <c r="AN36" s="18">
        <f t="shared" si="25"/>
        <v>1818.1155693136932</v>
      </c>
      <c r="AO36" s="6">
        <f t="shared" si="26"/>
        <v>5485.58562912849</v>
      </c>
      <c r="AP36" s="6">
        <f t="shared" si="26"/>
        <v>3401.063090059664</v>
      </c>
      <c r="AQ36" s="6">
        <f t="shared" si="27"/>
        <v>5485.58562912849</v>
      </c>
      <c r="AR36" s="6">
        <f t="shared" si="27"/>
        <v>3455.9189463509488</v>
      </c>
      <c r="AS36" s="18">
        <f t="shared" si="27"/>
        <v>7757.789594272458</v>
      </c>
      <c r="AT36" s="18">
        <f t="shared" si="27"/>
        <v>4887.407444391648</v>
      </c>
      <c r="AU36" s="6">
        <f t="shared" si="33"/>
        <v>10971.17125825698</v>
      </c>
      <c r="AV36" s="6">
        <f t="shared" si="33"/>
        <v>6802.126180119328</v>
      </c>
    </row>
    <row r="37" spans="1:48" ht="15">
      <c r="A37" s="24" t="s">
        <v>40</v>
      </c>
      <c r="B37" s="5">
        <f>SQRT((3.5+14.48)/14.73)</f>
        <v>1.1048249424358492</v>
      </c>
      <c r="C37" s="6">
        <f t="shared" si="14"/>
        <v>303.8268591698585</v>
      </c>
      <c r="D37" s="6">
        <f t="shared" si="15"/>
        <v>193.3443649262736</v>
      </c>
      <c r="E37" s="6">
        <f t="shared" si="0"/>
        <v>276.2062356089623</v>
      </c>
      <c r="F37" s="6">
        <f t="shared" si="16"/>
        <v>193.3443649262736</v>
      </c>
      <c r="G37" s="6">
        <f t="shared" si="17"/>
        <v>458.5023511108774</v>
      </c>
      <c r="H37" s="6">
        <f t="shared" si="1"/>
        <v>287.2544850333208</v>
      </c>
      <c r="I37" s="18">
        <f t="shared" si="1"/>
        <v>648.4202433209537</v>
      </c>
      <c r="J37" s="18">
        <f t="shared" si="1"/>
        <v>406.23918858662154</v>
      </c>
      <c r="K37" s="6">
        <f t="shared" si="18"/>
        <v>994.3424481922642</v>
      </c>
      <c r="L37" s="6">
        <f t="shared" si="30"/>
        <v>574.5089700666416</v>
      </c>
      <c r="M37" s="6">
        <f t="shared" si="30"/>
        <v>828.6187068268869</v>
      </c>
      <c r="N37" s="6">
        <f t="shared" si="20"/>
        <v>522.0297853009388</v>
      </c>
      <c r="O37" s="18">
        <f t="shared" si="20"/>
        <v>1171.8438132306392</v>
      </c>
      <c r="P37" s="18">
        <f t="shared" si="21"/>
        <v>739.042831544123</v>
      </c>
      <c r="Q37" s="6">
        <f t="shared" si="34"/>
        <v>1767.7199078973586</v>
      </c>
      <c r="R37" s="6">
        <f t="shared" si="34"/>
        <v>1093.7766930114906</v>
      </c>
      <c r="S37" s="6">
        <f t="shared" si="34"/>
        <v>883.8599539486793</v>
      </c>
      <c r="T37" s="6">
        <f t="shared" si="22"/>
        <v>556.8317709876679</v>
      </c>
      <c r="U37" s="18">
        <f t="shared" si="22"/>
        <v>1249.9667341126815</v>
      </c>
      <c r="V37" s="18">
        <f t="shared" si="22"/>
        <v>787.4790424909894</v>
      </c>
      <c r="W37" s="6">
        <f t="shared" si="31"/>
        <v>1767.7199078973586</v>
      </c>
      <c r="X37" s="6">
        <f t="shared" si="31"/>
        <v>1093.7766930114906</v>
      </c>
      <c r="Y37" s="6">
        <f t="shared" si="31"/>
        <v>1104.8249424358492</v>
      </c>
      <c r="Z37" s="6">
        <f t="shared" si="23"/>
        <v>696.039713734585</v>
      </c>
      <c r="AA37" s="18">
        <f t="shared" si="23"/>
        <v>1562.458417640852</v>
      </c>
      <c r="AB37" s="18">
        <f t="shared" si="23"/>
        <v>984.3488031137367</v>
      </c>
      <c r="AC37" s="6">
        <f t="shared" si="32"/>
        <v>2430.614873358868</v>
      </c>
      <c r="AD37" s="6">
        <f t="shared" si="32"/>
        <v>1502.5619217127548</v>
      </c>
      <c r="AE37" s="6">
        <f t="shared" si="32"/>
        <v>1601.9961665319813</v>
      </c>
      <c r="AF37" s="6">
        <f t="shared" si="28"/>
        <v>1009.2575849151482</v>
      </c>
      <c r="AG37" s="18">
        <f t="shared" si="28"/>
        <v>2265.5647055792356</v>
      </c>
      <c r="AH37" s="18">
        <f t="shared" si="28"/>
        <v>1427.3057645149183</v>
      </c>
      <c r="AI37" s="6">
        <f t="shared" si="29"/>
        <v>3314.4748273075475</v>
      </c>
      <c r="AJ37" s="6">
        <f t="shared" si="29"/>
        <v>2054.9743929306796</v>
      </c>
      <c r="AK37" s="6">
        <f t="shared" si="25"/>
        <v>2762.062356089623</v>
      </c>
      <c r="AL37" s="6">
        <f t="shared" si="25"/>
        <v>1294.633867546328</v>
      </c>
      <c r="AM37" s="18">
        <f t="shared" si="25"/>
        <v>3906.1460441021304</v>
      </c>
      <c r="AN37" s="18">
        <f t="shared" si="25"/>
        <v>1830.8887737915502</v>
      </c>
      <c r="AO37" s="6">
        <f t="shared" si="26"/>
        <v>5524.124712179246</v>
      </c>
      <c r="AP37" s="6">
        <f t="shared" si="26"/>
        <v>3424.9573215511323</v>
      </c>
      <c r="AQ37" s="6">
        <f t="shared" si="27"/>
        <v>5524.124712179246</v>
      </c>
      <c r="AR37" s="6">
        <f t="shared" si="27"/>
        <v>3480.198568672925</v>
      </c>
      <c r="AS37" s="18">
        <f t="shared" si="27"/>
        <v>7812.292088204261</v>
      </c>
      <c r="AT37" s="18">
        <f t="shared" si="27"/>
        <v>4921.744015568684</v>
      </c>
      <c r="AU37" s="6">
        <f t="shared" si="33"/>
        <v>11048.249424358492</v>
      </c>
      <c r="AV37" s="6">
        <f t="shared" si="33"/>
        <v>6849.914643102265</v>
      </c>
    </row>
    <row r="38" spans="1:48" ht="15">
      <c r="A38" s="24" t="s">
        <v>41</v>
      </c>
      <c r="B38" s="5">
        <f>SQRT((3.75+14.48)/14.73)</f>
        <v>1.1124793566968847</v>
      </c>
      <c r="C38" s="6">
        <f t="shared" si="14"/>
        <v>305.9318230916433</v>
      </c>
      <c r="D38" s="6">
        <f t="shared" si="15"/>
        <v>194.6838874219548</v>
      </c>
      <c r="E38" s="6">
        <f t="shared" si="0"/>
        <v>278.11983917422117</v>
      </c>
      <c r="F38" s="6">
        <f t="shared" si="16"/>
        <v>194.6838874219548</v>
      </c>
      <c r="G38" s="6">
        <f t="shared" si="17"/>
        <v>461.67893302920714</v>
      </c>
      <c r="H38" s="6">
        <f t="shared" si="1"/>
        <v>289.24463274119</v>
      </c>
      <c r="I38" s="18">
        <f t="shared" si="1"/>
        <v>652.9126085518448</v>
      </c>
      <c r="J38" s="18">
        <f t="shared" si="1"/>
        <v>409.0536824662159</v>
      </c>
      <c r="K38" s="6">
        <f t="shared" si="18"/>
        <v>1001.2314210271962</v>
      </c>
      <c r="L38" s="6">
        <f t="shared" si="30"/>
        <v>578.48926548238</v>
      </c>
      <c r="M38" s="6">
        <f t="shared" si="30"/>
        <v>834.3595175226635</v>
      </c>
      <c r="N38" s="6">
        <f t="shared" si="20"/>
        <v>525.646496039278</v>
      </c>
      <c r="O38" s="18">
        <f t="shared" si="20"/>
        <v>1179.962545575623</v>
      </c>
      <c r="P38" s="18">
        <f t="shared" si="21"/>
        <v>744.1630454096928</v>
      </c>
      <c r="Q38" s="6">
        <f t="shared" si="34"/>
        <v>1779.9669707150156</v>
      </c>
      <c r="R38" s="6">
        <f t="shared" si="34"/>
        <v>1101.3545631299157</v>
      </c>
      <c r="S38" s="6">
        <f t="shared" si="34"/>
        <v>889.9834853575078</v>
      </c>
      <c r="T38" s="6">
        <f t="shared" si="22"/>
        <v>560.6895957752299</v>
      </c>
      <c r="U38" s="18">
        <f t="shared" si="22"/>
        <v>1258.6267152806643</v>
      </c>
      <c r="V38" s="18">
        <f t="shared" si="22"/>
        <v>792.9348306268186</v>
      </c>
      <c r="W38" s="6">
        <f t="shared" si="31"/>
        <v>1779.9669707150156</v>
      </c>
      <c r="X38" s="6">
        <f t="shared" si="31"/>
        <v>1101.3545631299157</v>
      </c>
      <c r="Y38" s="6">
        <f t="shared" si="31"/>
        <v>1112.4793566968847</v>
      </c>
      <c r="Z38" s="6">
        <f t="shared" si="23"/>
        <v>700.8619947190374</v>
      </c>
      <c r="AA38" s="18">
        <f t="shared" si="23"/>
        <v>1573.2833941008305</v>
      </c>
      <c r="AB38" s="18">
        <f t="shared" si="23"/>
        <v>991.1685382835232</v>
      </c>
      <c r="AC38" s="6">
        <f t="shared" si="32"/>
        <v>2447.4545847331465</v>
      </c>
      <c r="AD38" s="6">
        <f t="shared" si="32"/>
        <v>1512.9719251077631</v>
      </c>
      <c r="AE38" s="6">
        <f t="shared" si="32"/>
        <v>1613.0950672104827</v>
      </c>
      <c r="AF38" s="6">
        <f t="shared" si="28"/>
        <v>1016.2498923426042</v>
      </c>
      <c r="AG38" s="18">
        <f t="shared" si="28"/>
        <v>2281.260921446204</v>
      </c>
      <c r="AH38" s="18">
        <f t="shared" si="28"/>
        <v>1437.1943805111086</v>
      </c>
      <c r="AI38" s="6">
        <f t="shared" si="29"/>
        <v>3337.438070090654</v>
      </c>
      <c r="AJ38" s="6">
        <f t="shared" si="29"/>
        <v>2069.2116034562055</v>
      </c>
      <c r="AK38" s="6">
        <f t="shared" si="25"/>
        <v>2781.1983917422117</v>
      </c>
      <c r="AL38" s="6">
        <f t="shared" si="25"/>
        <v>1303.6033101774094</v>
      </c>
      <c r="AM38" s="18">
        <f t="shared" si="25"/>
        <v>3933.2084852520766</v>
      </c>
      <c r="AN38" s="18">
        <f t="shared" si="25"/>
        <v>1843.573481207353</v>
      </c>
      <c r="AO38" s="6">
        <f t="shared" si="26"/>
        <v>5562.396783484423</v>
      </c>
      <c r="AP38" s="6">
        <f t="shared" si="26"/>
        <v>3448.6860057603426</v>
      </c>
      <c r="AQ38" s="6">
        <f t="shared" si="27"/>
        <v>5562.396783484423</v>
      </c>
      <c r="AR38" s="6">
        <f t="shared" si="27"/>
        <v>3504.309973595187</v>
      </c>
      <c r="AS38" s="18">
        <f t="shared" si="27"/>
        <v>7866.416970504153</v>
      </c>
      <c r="AT38" s="18">
        <f t="shared" si="27"/>
        <v>4955.842691417616</v>
      </c>
      <c r="AU38" s="6">
        <f t="shared" si="33"/>
        <v>11124.793566968847</v>
      </c>
      <c r="AV38" s="6">
        <f t="shared" si="33"/>
        <v>6897.372011520685</v>
      </c>
    </row>
    <row r="39" spans="1:48" ht="15">
      <c r="A39" s="24" t="s">
        <v>42</v>
      </c>
      <c r="B39" s="5">
        <f>SQRT((4+14.48)/14.73)</f>
        <v>1.120081463432482</v>
      </c>
      <c r="C39" s="6">
        <f t="shared" si="14"/>
        <v>308.02240244393255</v>
      </c>
      <c r="D39" s="6">
        <f t="shared" si="15"/>
        <v>196.01425610068435</v>
      </c>
      <c r="E39" s="6">
        <f t="shared" si="0"/>
        <v>280.0203658581205</v>
      </c>
      <c r="F39" s="6">
        <f t="shared" si="16"/>
        <v>196.01425610068435</v>
      </c>
      <c r="G39" s="6">
        <f aca="true" t="shared" si="35" ref="G39:G55">B39*415</f>
        <v>464.83380732448006</v>
      </c>
      <c r="H39" s="6">
        <f aca="true" t="shared" si="36" ref="H39:I55">$B39*H$6</f>
        <v>291.22118049244534</v>
      </c>
      <c r="I39" s="18">
        <f t="shared" si="36"/>
        <v>657.3742745678019</v>
      </c>
      <c r="J39" s="18">
        <f aca="true" t="shared" si="37" ref="J39:J55">$B39*J$6</f>
        <v>411.8489431027192</v>
      </c>
      <c r="K39" s="6">
        <f t="shared" si="18"/>
        <v>1008.0733170892338</v>
      </c>
      <c r="L39" s="6">
        <f t="shared" si="30"/>
        <v>582.4423609848907</v>
      </c>
      <c r="M39" s="6">
        <f t="shared" si="30"/>
        <v>840.0610975743615</v>
      </c>
      <c r="N39" s="6">
        <f t="shared" si="20"/>
        <v>529.2384914718477</v>
      </c>
      <c r="O39" s="18">
        <f t="shared" si="20"/>
        <v>1188.0257974116903</v>
      </c>
      <c r="P39" s="18">
        <f t="shared" si="21"/>
        <v>749.2482695676392</v>
      </c>
      <c r="Q39" s="6">
        <f t="shared" si="34"/>
        <v>1792.1303414919712</v>
      </c>
      <c r="R39" s="6">
        <f t="shared" si="34"/>
        <v>1108.8806487981572</v>
      </c>
      <c r="S39" s="6">
        <f t="shared" si="34"/>
        <v>896.0651707459856</v>
      </c>
      <c r="T39" s="6">
        <f t="shared" si="22"/>
        <v>564.5210575699709</v>
      </c>
      <c r="U39" s="18">
        <f t="shared" si="22"/>
        <v>1267.227517239136</v>
      </c>
      <c r="V39" s="18">
        <f t="shared" si="22"/>
        <v>798.3533358606558</v>
      </c>
      <c r="W39" s="6">
        <f t="shared" si="31"/>
        <v>1792.1303414919712</v>
      </c>
      <c r="X39" s="6">
        <f t="shared" si="31"/>
        <v>1108.8806487981572</v>
      </c>
      <c r="Y39" s="6">
        <f t="shared" si="31"/>
        <v>1120.081463432482</v>
      </c>
      <c r="Z39" s="6">
        <f t="shared" si="23"/>
        <v>705.6513219624637</v>
      </c>
      <c r="AA39" s="18">
        <f t="shared" si="23"/>
        <v>1584.03439654892</v>
      </c>
      <c r="AB39" s="18">
        <f t="shared" si="23"/>
        <v>997.9416698258196</v>
      </c>
      <c r="AC39" s="6">
        <f t="shared" si="32"/>
        <v>2464.1792195514604</v>
      </c>
      <c r="AD39" s="6">
        <f t="shared" si="32"/>
        <v>1523.3107902681757</v>
      </c>
      <c r="AE39" s="6">
        <f t="shared" si="32"/>
        <v>1624.118121977099</v>
      </c>
      <c r="AF39" s="6">
        <f t="shared" si="28"/>
        <v>1023.1944168455724</v>
      </c>
      <c r="AG39" s="18">
        <f t="shared" si="28"/>
        <v>2296.8498749959344</v>
      </c>
      <c r="AH39" s="18">
        <f t="shared" si="28"/>
        <v>1447.0154212474386</v>
      </c>
      <c r="AI39" s="6">
        <f t="shared" si="29"/>
        <v>3360.244390297446</v>
      </c>
      <c r="AJ39" s="6">
        <f t="shared" si="29"/>
        <v>2083.3515219844166</v>
      </c>
      <c r="AK39" s="6">
        <f t="shared" si="25"/>
        <v>2800.203658581205</v>
      </c>
      <c r="AL39" s="6">
        <f t="shared" si="25"/>
        <v>1312.5114588501824</v>
      </c>
      <c r="AM39" s="18">
        <f t="shared" si="25"/>
        <v>3960.0859913723007</v>
      </c>
      <c r="AN39" s="18">
        <f t="shared" si="25"/>
        <v>1856.1715058760244</v>
      </c>
      <c r="AO39" s="6">
        <f t="shared" si="26"/>
        <v>5600.40731716241</v>
      </c>
      <c r="AP39" s="6">
        <f t="shared" si="26"/>
        <v>3472.2525366406944</v>
      </c>
      <c r="AQ39" s="6">
        <f t="shared" si="27"/>
        <v>5600.40731716241</v>
      </c>
      <c r="AR39" s="6">
        <f t="shared" si="27"/>
        <v>3528.2566098123184</v>
      </c>
      <c r="AS39" s="18">
        <f t="shared" si="27"/>
        <v>7920.171982744601</v>
      </c>
      <c r="AT39" s="18">
        <f t="shared" si="27"/>
        <v>4989.708349129098</v>
      </c>
      <c r="AU39" s="6">
        <f t="shared" si="33"/>
        <v>11200.81463432482</v>
      </c>
      <c r="AV39" s="6">
        <f t="shared" si="33"/>
        <v>6944.505073281389</v>
      </c>
    </row>
    <row r="40" spans="1:48" ht="15">
      <c r="A40" s="24" t="s">
        <v>43</v>
      </c>
      <c r="B40" s="5">
        <f>SQRT((4.25+14.48)/14.73)</f>
        <v>1.1276323205608234</v>
      </c>
      <c r="C40" s="6">
        <f t="shared" si="14"/>
        <v>310.0988881542264</v>
      </c>
      <c r="D40" s="6">
        <f t="shared" si="15"/>
        <v>197.33565609814409</v>
      </c>
      <c r="E40" s="6">
        <f t="shared" si="0"/>
        <v>281.90808014020587</v>
      </c>
      <c r="F40" s="6">
        <f t="shared" si="16"/>
        <v>197.33565609814409</v>
      </c>
      <c r="G40" s="6">
        <f t="shared" si="35"/>
        <v>467.9674130327417</v>
      </c>
      <c r="H40" s="6">
        <f t="shared" si="36"/>
        <v>293.1844033458141</v>
      </c>
      <c r="I40" s="18">
        <f t="shared" si="36"/>
        <v>661.8058622595553</v>
      </c>
      <c r="J40" s="18">
        <f t="shared" si="37"/>
        <v>414.6253594879141</v>
      </c>
      <c r="K40" s="6">
        <f t="shared" si="18"/>
        <v>1014.8690885047411</v>
      </c>
      <c r="L40" s="6">
        <f t="shared" si="30"/>
        <v>586.3688066916282</v>
      </c>
      <c r="M40" s="6">
        <f t="shared" si="30"/>
        <v>845.7242404206175</v>
      </c>
      <c r="N40" s="6">
        <f t="shared" si="20"/>
        <v>532.8062714649891</v>
      </c>
      <c r="O40" s="18">
        <f t="shared" si="20"/>
        <v>1196.0346908305216</v>
      </c>
      <c r="P40" s="18">
        <f t="shared" si="21"/>
        <v>754.2992116837822</v>
      </c>
      <c r="Q40" s="6">
        <f t="shared" si="34"/>
        <v>1804.2117128973175</v>
      </c>
      <c r="R40" s="6">
        <f t="shared" si="34"/>
        <v>1116.355997355215</v>
      </c>
      <c r="S40" s="6">
        <f t="shared" si="34"/>
        <v>902.1058564486588</v>
      </c>
      <c r="T40" s="6">
        <f t="shared" si="22"/>
        <v>568.326689562655</v>
      </c>
      <c r="U40" s="18">
        <f t="shared" si="22"/>
        <v>1275.7703368858895</v>
      </c>
      <c r="V40" s="18">
        <f t="shared" si="22"/>
        <v>803.7353122381105</v>
      </c>
      <c r="W40" s="6">
        <f t="shared" si="31"/>
        <v>1804.2117128973175</v>
      </c>
      <c r="X40" s="6">
        <f t="shared" si="31"/>
        <v>1116.355997355215</v>
      </c>
      <c r="Y40" s="6">
        <f t="shared" si="31"/>
        <v>1127.6323205608235</v>
      </c>
      <c r="Z40" s="6">
        <f t="shared" si="23"/>
        <v>710.4083619533187</v>
      </c>
      <c r="AA40" s="18">
        <f t="shared" si="23"/>
        <v>1594.712921107362</v>
      </c>
      <c r="AB40" s="18">
        <f t="shared" si="23"/>
        <v>1004.669140297638</v>
      </c>
      <c r="AC40" s="6">
        <f t="shared" si="32"/>
        <v>2480.7911052338113</v>
      </c>
      <c r="AD40" s="6">
        <f t="shared" si="32"/>
        <v>1533.5799559627199</v>
      </c>
      <c r="AE40" s="6">
        <f t="shared" si="32"/>
        <v>1635.066864813194</v>
      </c>
      <c r="AF40" s="6">
        <f t="shared" si="28"/>
        <v>1030.0921248323123</v>
      </c>
      <c r="AG40" s="18">
        <f t="shared" si="28"/>
        <v>2312.333735605675</v>
      </c>
      <c r="AH40" s="18">
        <f t="shared" si="28"/>
        <v>1456.7702534315752</v>
      </c>
      <c r="AI40" s="6">
        <f t="shared" si="29"/>
        <v>3382.89696168247</v>
      </c>
      <c r="AJ40" s="6">
        <f t="shared" si="29"/>
        <v>2097.3961162431315</v>
      </c>
      <c r="AK40" s="6">
        <f t="shared" si="25"/>
        <v>2819.0808014020586</v>
      </c>
      <c r="AL40" s="6">
        <f t="shared" si="25"/>
        <v>1321.3595532331728</v>
      </c>
      <c r="AM40" s="18">
        <f t="shared" si="25"/>
        <v>3986.7823027684053</v>
      </c>
      <c r="AN40" s="18">
        <f t="shared" si="25"/>
        <v>1868.6846009536068</v>
      </c>
      <c r="AO40" s="6">
        <f t="shared" si="26"/>
        <v>5638.161602804117</v>
      </c>
      <c r="AP40" s="6">
        <f t="shared" si="26"/>
        <v>3495.6601937385526</v>
      </c>
      <c r="AQ40" s="6">
        <f t="shared" si="27"/>
        <v>5638.161602804117</v>
      </c>
      <c r="AR40" s="6">
        <f t="shared" si="27"/>
        <v>3552.041809766594</v>
      </c>
      <c r="AS40" s="18">
        <f t="shared" si="27"/>
        <v>7973.564605536811</v>
      </c>
      <c r="AT40" s="18">
        <f t="shared" si="27"/>
        <v>5023.345701488191</v>
      </c>
      <c r="AU40" s="6">
        <f t="shared" si="33"/>
        <v>11276.323205608234</v>
      </c>
      <c r="AV40" s="6">
        <f t="shared" si="33"/>
        <v>6991.320387477105</v>
      </c>
    </row>
    <row r="41" spans="1:48" ht="15">
      <c r="A41" s="24" t="s">
        <v>44</v>
      </c>
      <c r="B41" s="5">
        <f>SQRT((4.5+14.48)/14.73)</f>
        <v>1.1351329508131303</v>
      </c>
      <c r="C41" s="6">
        <f t="shared" si="14"/>
        <v>312.16156147361085</v>
      </c>
      <c r="D41" s="6">
        <f t="shared" si="15"/>
        <v>198.64826639229778</v>
      </c>
      <c r="E41" s="6">
        <f t="shared" si="0"/>
        <v>283.78323770328257</v>
      </c>
      <c r="F41" s="6">
        <f t="shared" si="16"/>
        <v>198.64826639229778</v>
      </c>
      <c r="G41" s="6">
        <f t="shared" si="35"/>
        <v>471.08017458744905</v>
      </c>
      <c r="H41" s="6">
        <f t="shared" si="36"/>
        <v>295.13456721141387</v>
      </c>
      <c r="I41" s="18">
        <f t="shared" si="36"/>
        <v>666.207971866656</v>
      </c>
      <c r="J41" s="18">
        <f t="shared" si="37"/>
        <v>417.38330767549525</v>
      </c>
      <c r="K41" s="6">
        <f t="shared" si="18"/>
        <v>1021.6196557318173</v>
      </c>
      <c r="L41" s="6">
        <f t="shared" si="30"/>
        <v>590.2691344228277</v>
      </c>
      <c r="M41" s="6">
        <f t="shared" si="30"/>
        <v>851.3497131098477</v>
      </c>
      <c r="N41" s="6">
        <f t="shared" si="20"/>
        <v>536.3503192592041</v>
      </c>
      <c r="O41" s="18">
        <f t="shared" si="20"/>
        <v>1203.9903106023903</v>
      </c>
      <c r="P41" s="18">
        <f t="shared" si="21"/>
        <v>759.3165558865742</v>
      </c>
      <c r="Q41" s="6">
        <f t="shared" si="34"/>
        <v>1816.2127213010085</v>
      </c>
      <c r="R41" s="6">
        <f t="shared" si="34"/>
        <v>1123.781621304999</v>
      </c>
      <c r="S41" s="6">
        <f t="shared" si="34"/>
        <v>908.1063606505043</v>
      </c>
      <c r="T41" s="6">
        <f t="shared" si="22"/>
        <v>572.1070072098177</v>
      </c>
      <c r="U41" s="18">
        <f t="shared" si="22"/>
        <v>1284.2563313092162</v>
      </c>
      <c r="V41" s="18">
        <f t="shared" si="22"/>
        <v>809.0814887248063</v>
      </c>
      <c r="W41" s="6">
        <f t="shared" si="31"/>
        <v>1816.2127213010085</v>
      </c>
      <c r="X41" s="6">
        <f t="shared" si="31"/>
        <v>1123.781621304999</v>
      </c>
      <c r="Y41" s="6">
        <f t="shared" si="31"/>
        <v>1135.1329508131303</v>
      </c>
      <c r="Z41" s="6">
        <f t="shared" si="23"/>
        <v>715.1337590122721</v>
      </c>
      <c r="AA41" s="18">
        <f t="shared" si="23"/>
        <v>1605.3204141365202</v>
      </c>
      <c r="AB41" s="18">
        <f t="shared" si="23"/>
        <v>1011.3518609060078</v>
      </c>
      <c r="AC41" s="6">
        <f t="shared" si="32"/>
        <v>2497.2924917888868</v>
      </c>
      <c r="AD41" s="6">
        <f t="shared" si="32"/>
        <v>1543.780813105857</v>
      </c>
      <c r="AE41" s="6">
        <f t="shared" si="32"/>
        <v>1645.9427786790388</v>
      </c>
      <c r="AF41" s="6">
        <f t="shared" si="28"/>
        <v>1036.9439505677944</v>
      </c>
      <c r="AG41" s="18">
        <f t="shared" si="28"/>
        <v>2327.7146004979545</v>
      </c>
      <c r="AH41" s="18">
        <f t="shared" si="28"/>
        <v>1466.4601983137113</v>
      </c>
      <c r="AI41" s="6">
        <f t="shared" si="29"/>
        <v>3405.398852439391</v>
      </c>
      <c r="AJ41" s="6">
        <f t="shared" si="29"/>
        <v>2111.3472885124224</v>
      </c>
      <c r="AK41" s="6">
        <f t="shared" si="25"/>
        <v>2837.8323770328257</v>
      </c>
      <c r="AL41" s="6">
        <f t="shared" si="25"/>
        <v>1330.148791762826</v>
      </c>
      <c r="AM41" s="18">
        <f t="shared" si="25"/>
        <v>4013.301035341301</v>
      </c>
      <c r="AN41" s="18">
        <f t="shared" si="25"/>
        <v>1881.1144612851745</v>
      </c>
      <c r="AO41" s="6">
        <f t="shared" si="26"/>
        <v>5675.664754065651</v>
      </c>
      <c r="AP41" s="6">
        <f t="shared" si="26"/>
        <v>3518.912147520704</v>
      </c>
      <c r="AQ41" s="6">
        <f t="shared" si="27"/>
        <v>5675.664754065651</v>
      </c>
      <c r="AR41" s="6">
        <f t="shared" si="27"/>
        <v>3575.6687950613605</v>
      </c>
      <c r="AS41" s="18">
        <f t="shared" si="27"/>
        <v>8026.602070682602</v>
      </c>
      <c r="AT41" s="18">
        <f t="shared" si="27"/>
        <v>5056.759304530039</v>
      </c>
      <c r="AU41" s="6">
        <f t="shared" si="33"/>
        <v>11351.329508131303</v>
      </c>
      <c r="AV41" s="6">
        <f t="shared" si="33"/>
        <v>7037.824295041408</v>
      </c>
    </row>
    <row r="42" spans="1:48" ht="15">
      <c r="A42" s="24" t="s">
        <v>45</v>
      </c>
      <c r="B42" s="5">
        <f>SQRT((4.75+14.48)/14.73)</f>
        <v>1.142584343350661</v>
      </c>
      <c r="C42" s="6">
        <f t="shared" si="14"/>
        <v>314.2106944214318</v>
      </c>
      <c r="D42" s="6">
        <f t="shared" si="15"/>
        <v>199.9522600863657</v>
      </c>
      <c r="E42" s="6">
        <f t="shared" si="0"/>
        <v>285.6460858376653</v>
      </c>
      <c r="F42" s="6">
        <f t="shared" si="16"/>
        <v>199.9522600863657</v>
      </c>
      <c r="G42" s="6">
        <f t="shared" si="35"/>
        <v>474.1725024905243</v>
      </c>
      <c r="H42" s="6">
        <f t="shared" si="36"/>
        <v>297.0719292711719</v>
      </c>
      <c r="I42" s="18">
        <f t="shared" si="36"/>
        <v>670.5811839264898</v>
      </c>
      <c r="J42" s="18">
        <f t="shared" si="37"/>
        <v>420.1231513756321</v>
      </c>
      <c r="K42" s="6">
        <f t="shared" si="18"/>
        <v>1028.325909015595</v>
      </c>
      <c r="L42" s="6">
        <f t="shared" si="30"/>
        <v>594.1438585423438</v>
      </c>
      <c r="M42" s="6">
        <f t="shared" si="30"/>
        <v>856.9382575129958</v>
      </c>
      <c r="N42" s="6">
        <f t="shared" si="20"/>
        <v>539.8711022331873</v>
      </c>
      <c r="O42" s="18">
        <f t="shared" si="20"/>
        <v>1211.8937058912466</v>
      </c>
      <c r="P42" s="18">
        <f t="shared" si="21"/>
        <v>764.3009638487462</v>
      </c>
      <c r="Q42" s="6">
        <f t="shared" si="34"/>
        <v>1828.1349493610578</v>
      </c>
      <c r="R42" s="6">
        <f t="shared" si="34"/>
        <v>1131.1584999171544</v>
      </c>
      <c r="S42" s="6">
        <f t="shared" si="34"/>
        <v>914.0674746805289</v>
      </c>
      <c r="T42" s="6">
        <f t="shared" si="22"/>
        <v>575.8625090487332</v>
      </c>
      <c r="U42" s="18">
        <f t="shared" si="22"/>
        <v>1292.6866196173296</v>
      </c>
      <c r="V42" s="18">
        <f t="shared" si="22"/>
        <v>814.3925703589177</v>
      </c>
      <c r="W42" s="6">
        <f t="shared" si="31"/>
        <v>1828.1349493610578</v>
      </c>
      <c r="X42" s="6">
        <f t="shared" si="31"/>
        <v>1131.1584999171544</v>
      </c>
      <c r="Y42" s="6">
        <f t="shared" si="31"/>
        <v>1142.5843433506611</v>
      </c>
      <c r="Z42" s="6">
        <f t="shared" si="23"/>
        <v>719.8281363109164</v>
      </c>
      <c r="AA42" s="18">
        <f t="shared" si="23"/>
        <v>1615.858274521662</v>
      </c>
      <c r="AB42" s="18">
        <f t="shared" si="23"/>
        <v>1017.9907129486471</v>
      </c>
      <c r="AC42" s="6">
        <f t="shared" si="32"/>
        <v>2513.6855553714545</v>
      </c>
      <c r="AD42" s="6">
        <f t="shared" si="32"/>
        <v>1553.914706956899</v>
      </c>
      <c r="AE42" s="6">
        <f t="shared" si="32"/>
        <v>1656.7472978584585</v>
      </c>
      <c r="AF42" s="6">
        <f t="shared" si="28"/>
        <v>1043.7507976508289</v>
      </c>
      <c r="AG42" s="18">
        <f t="shared" si="28"/>
        <v>2342.99449805641</v>
      </c>
      <c r="AH42" s="18">
        <f t="shared" si="28"/>
        <v>1476.0865337755383</v>
      </c>
      <c r="AI42" s="6">
        <f t="shared" si="29"/>
        <v>3427.7530300519834</v>
      </c>
      <c r="AJ42" s="6">
        <f t="shared" si="29"/>
        <v>2125.2068786322297</v>
      </c>
      <c r="AK42" s="6">
        <f t="shared" si="25"/>
        <v>2856.4608583766526</v>
      </c>
      <c r="AL42" s="6">
        <f t="shared" si="25"/>
        <v>1338.8803335383045</v>
      </c>
      <c r="AM42" s="18">
        <f t="shared" si="25"/>
        <v>4039.6456863041553</v>
      </c>
      <c r="AN42" s="18">
        <f t="shared" si="25"/>
        <v>1893.4627260844834</v>
      </c>
      <c r="AO42" s="6">
        <f t="shared" si="26"/>
        <v>5712.921716753305</v>
      </c>
      <c r="AP42" s="6">
        <f t="shared" si="26"/>
        <v>3542.0114643870493</v>
      </c>
      <c r="AQ42" s="6">
        <f t="shared" si="27"/>
        <v>5712.921716753305</v>
      </c>
      <c r="AR42" s="6">
        <f t="shared" si="27"/>
        <v>3599.1406815545824</v>
      </c>
      <c r="AS42" s="18">
        <f t="shared" si="27"/>
        <v>8079.291372608311</v>
      </c>
      <c r="AT42" s="18">
        <f t="shared" si="27"/>
        <v>5089.953564743235</v>
      </c>
      <c r="AU42" s="6">
        <f t="shared" si="33"/>
        <v>11425.84343350661</v>
      </c>
      <c r="AV42" s="6">
        <f t="shared" si="33"/>
        <v>7084.022928774099</v>
      </c>
    </row>
    <row r="43" spans="1:48" ht="18">
      <c r="A43" s="25" t="s">
        <v>46</v>
      </c>
      <c r="B43" s="5">
        <f>SQRT((5+14.48)/14.73)</f>
        <v>1.1499874552874034</v>
      </c>
      <c r="C43" s="8">
        <f t="shared" si="14"/>
        <v>316.24655020403594</v>
      </c>
      <c r="D43" s="8">
        <f t="shared" si="15"/>
        <v>201.2478046752956</v>
      </c>
      <c r="E43" s="8">
        <f t="shared" si="0"/>
        <v>287.49686382185087</v>
      </c>
      <c r="F43" s="8">
        <f t="shared" si="16"/>
        <v>201.2478046752956</v>
      </c>
      <c r="G43" s="6">
        <f t="shared" si="35"/>
        <v>477.24479394427243</v>
      </c>
      <c r="H43" s="6">
        <f t="shared" si="36"/>
        <v>298.9967383747249</v>
      </c>
      <c r="I43" s="18">
        <f t="shared" si="36"/>
        <v>674.9260601679433</v>
      </c>
      <c r="J43" s="18">
        <f t="shared" si="37"/>
        <v>422.845242514856</v>
      </c>
      <c r="K43" s="6">
        <f t="shared" si="18"/>
        <v>1034.9887097586632</v>
      </c>
      <c r="L43" s="6">
        <f t="shared" si="30"/>
        <v>597.9934767494498</v>
      </c>
      <c r="M43" s="6">
        <f t="shared" si="30"/>
        <v>862.4905914655526</v>
      </c>
      <c r="N43" s="6">
        <f t="shared" si="20"/>
        <v>543.3690726232982</v>
      </c>
      <c r="O43" s="18">
        <f t="shared" si="20"/>
        <v>1219.745891869777</v>
      </c>
      <c r="P43" s="18">
        <f t="shared" si="21"/>
        <v>769.2530758058726</v>
      </c>
      <c r="Q43" s="6">
        <f t="shared" si="34"/>
        <v>1839.9799284598455</v>
      </c>
      <c r="R43" s="6">
        <f t="shared" si="34"/>
        <v>1138.4875807345295</v>
      </c>
      <c r="S43" s="6">
        <f t="shared" si="34"/>
        <v>919.9899642299227</v>
      </c>
      <c r="T43" s="6">
        <f aca="true" t="shared" si="38" ref="T43:V55">$B43*T$6</f>
        <v>579.5936774648513</v>
      </c>
      <c r="U43" s="18">
        <f t="shared" si="38"/>
        <v>1301.0622846610954</v>
      </c>
      <c r="V43" s="18">
        <f t="shared" si="38"/>
        <v>819.6692393364901</v>
      </c>
      <c r="W43" s="6">
        <f t="shared" si="31"/>
        <v>1839.9799284598455</v>
      </c>
      <c r="X43" s="6">
        <f t="shared" si="31"/>
        <v>1138.4875807345295</v>
      </c>
      <c r="Y43" s="6">
        <f t="shared" si="31"/>
        <v>1149.9874552874035</v>
      </c>
      <c r="Z43" s="6">
        <f aca="true" t="shared" si="39" ref="Z43:AB55">$B43*Z$6</f>
        <v>724.4920968310641</v>
      </c>
      <c r="AA43" s="18">
        <f t="shared" si="39"/>
        <v>1626.3278558263692</v>
      </c>
      <c r="AB43" s="18">
        <f t="shared" si="39"/>
        <v>1024.5865491706127</v>
      </c>
      <c r="AC43" s="6">
        <f t="shared" si="32"/>
        <v>2529.9724016322875</v>
      </c>
      <c r="AD43" s="6">
        <f t="shared" si="32"/>
        <v>1563.9829391908686</v>
      </c>
      <c r="AE43" s="6">
        <f t="shared" si="32"/>
        <v>1667.481810166735</v>
      </c>
      <c r="AF43" s="6">
        <f t="shared" si="28"/>
        <v>1050.513540405043</v>
      </c>
      <c r="AG43" s="18">
        <f t="shared" si="28"/>
        <v>2358.1753909482354</v>
      </c>
      <c r="AH43" s="18">
        <f t="shared" si="28"/>
        <v>1485.6504962973884</v>
      </c>
      <c r="AI43" s="6">
        <f t="shared" si="29"/>
        <v>3449.9623658622104</v>
      </c>
      <c r="AJ43" s="6">
        <f t="shared" si="29"/>
        <v>2138.9766668345706</v>
      </c>
      <c r="AK43" s="6">
        <f t="shared" si="25"/>
        <v>2874.9686382185087</v>
      </c>
      <c r="AL43" s="6">
        <f t="shared" si="25"/>
        <v>1347.5553001057792</v>
      </c>
      <c r="AM43" s="18">
        <f t="shared" si="25"/>
        <v>4065.8196395659234</v>
      </c>
      <c r="AN43" s="18">
        <f t="shared" si="25"/>
        <v>1905.7309814573393</v>
      </c>
      <c r="AO43" s="6">
        <f aca="true" t="shared" si="40" ref="AO43:AP55">$B43*AO$6</f>
        <v>5749.937276437017</v>
      </c>
      <c r="AP43" s="6">
        <f t="shared" si="40"/>
        <v>3564.9611113909505</v>
      </c>
      <c r="AQ43" s="6">
        <f t="shared" si="27"/>
        <v>5749.937276437017</v>
      </c>
      <c r="AR43" s="6">
        <f t="shared" si="27"/>
        <v>3622.460484155321</v>
      </c>
      <c r="AS43" s="18">
        <f t="shared" si="27"/>
        <v>8131.639279131847</v>
      </c>
      <c r="AT43" s="18">
        <f t="shared" si="27"/>
        <v>5122.932745853063</v>
      </c>
      <c r="AU43" s="6">
        <f t="shared" si="33"/>
        <v>11499.874552874035</v>
      </c>
      <c r="AV43" s="6">
        <f t="shared" si="33"/>
        <v>7129.922222781901</v>
      </c>
    </row>
    <row r="44" spans="1:48" ht="15">
      <c r="A44" s="24" t="s">
        <v>47</v>
      </c>
      <c r="B44" s="5">
        <f>SQRT((6+14.48)/14.73)</f>
        <v>1.1791351957734721</v>
      </c>
      <c r="C44" s="6">
        <f t="shared" si="14"/>
        <v>324.2621788377048</v>
      </c>
      <c r="D44" s="6">
        <f t="shared" si="15"/>
        <v>206.34865926035764</v>
      </c>
      <c r="E44" s="6">
        <f t="shared" si="0"/>
        <v>294.783798943368</v>
      </c>
      <c r="F44" s="6">
        <f t="shared" si="16"/>
        <v>206.34865926035764</v>
      </c>
      <c r="G44" s="6">
        <f t="shared" si="35"/>
        <v>489.34110624599094</v>
      </c>
      <c r="H44" s="6">
        <f t="shared" si="36"/>
        <v>306.57515090110275</v>
      </c>
      <c r="I44" s="18">
        <f t="shared" si="36"/>
        <v>692.0328290797341</v>
      </c>
      <c r="J44" s="18">
        <f t="shared" si="37"/>
        <v>433.5627362909177</v>
      </c>
      <c r="K44" s="6">
        <f t="shared" si="18"/>
        <v>1061.221676196125</v>
      </c>
      <c r="L44" s="6">
        <f t="shared" si="30"/>
        <v>613.1503018022055</v>
      </c>
      <c r="M44" s="6">
        <f t="shared" si="30"/>
        <v>884.3513968301041</v>
      </c>
      <c r="N44" s="6">
        <f t="shared" si="20"/>
        <v>557.1413800029655</v>
      </c>
      <c r="O44" s="18">
        <f t="shared" si="20"/>
        <v>1250.6617393007243</v>
      </c>
      <c r="P44" s="18">
        <f t="shared" si="21"/>
        <v>788.7506702523234</v>
      </c>
      <c r="Q44" s="6">
        <f t="shared" si="34"/>
        <v>1886.6163132375555</v>
      </c>
      <c r="R44" s="6">
        <f t="shared" si="34"/>
        <v>1167.3438438157375</v>
      </c>
      <c r="S44" s="6">
        <f t="shared" si="34"/>
        <v>943.3081566187777</v>
      </c>
      <c r="T44" s="6">
        <f t="shared" si="38"/>
        <v>594.28413866983</v>
      </c>
      <c r="U44" s="18">
        <f t="shared" si="38"/>
        <v>1334.0391885874392</v>
      </c>
      <c r="V44" s="18">
        <f t="shared" si="38"/>
        <v>840.4446888100867</v>
      </c>
      <c r="W44" s="6">
        <f t="shared" si="31"/>
        <v>1886.6163132375555</v>
      </c>
      <c r="X44" s="6">
        <f t="shared" si="31"/>
        <v>1167.3438438157375</v>
      </c>
      <c r="Y44" s="6">
        <f t="shared" si="31"/>
        <v>1179.135195773472</v>
      </c>
      <c r="Z44" s="6">
        <f t="shared" si="39"/>
        <v>742.8551733372874</v>
      </c>
      <c r="AA44" s="18">
        <f t="shared" si="39"/>
        <v>1667.5489857342989</v>
      </c>
      <c r="AB44" s="18">
        <f t="shared" si="39"/>
        <v>1050.5558610126084</v>
      </c>
      <c r="AC44" s="6">
        <f t="shared" si="32"/>
        <v>2594.0974307016386</v>
      </c>
      <c r="AD44" s="6">
        <f t="shared" si="32"/>
        <v>1603.6238662519222</v>
      </c>
      <c r="AE44" s="6">
        <f t="shared" si="32"/>
        <v>1709.7460338715346</v>
      </c>
      <c r="AF44" s="6">
        <f t="shared" si="28"/>
        <v>1077.1400013390669</v>
      </c>
      <c r="AG44" s="18">
        <f t="shared" si="28"/>
        <v>2417.9460293147336</v>
      </c>
      <c r="AH44" s="18">
        <f t="shared" si="28"/>
        <v>1523.305998468282</v>
      </c>
      <c r="AI44" s="6">
        <f t="shared" si="29"/>
        <v>3537.4055873204165</v>
      </c>
      <c r="AJ44" s="6">
        <f t="shared" si="29"/>
        <v>2193.1914641386584</v>
      </c>
      <c r="AK44" s="6">
        <f t="shared" si="25"/>
        <v>2947.8379894336804</v>
      </c>
      <c r="AL44" s="6">
        <f t="shared" si="25"/>
        <v>1381.7106224073545</v>
      </c>
      <c r="AM44" s="18">
        <f t="shared" si="25"/>
        <v>4168.872464335747</v>
      </c>
      <c r="AN44" s="18">
        <f t="shared" si="25"/>
        <v>1954.0339014834515</v>
      </c>
      <c r="AO44" s="6">
        <f t="shared" si="40"/>
        <v>5895.675978867361</v>
      </c>
      <c r="AP44" s="6">
        <f t="shared" si="40"/>
        <v>3655.3191068977635</v>
      </c>
      <c r="AQ44" s="6">
        <f t="shared" si="27"/>
        <v>5895.675978867361</v>
      </c>
      <c r="AR44" s="6">
        <f t="shared" si="27"/>
        <v>3714.2758666864374</v>
      </c>
      <c r="AS44" s="18">
        <f t="shared" si="27"/>
        <v>8337.744928671495</v>
      </c>
      <c r="AT44" s="18">
        <f t="shared" si="27"/>
        <v>5252.779305063042</v>
      </c>
      <c r="AU44" s="6">
        <f t="shared" si="33"/>
        <v>11791.351957734722</v>
      </c>
      <c r="AV44" s="6">
        <f t="shared" si="33"/>
        <v>7310.638213795527</v>
      </c>
    </row>
    <row r="45" spans="1:48" ht="15">
      <c r="A45" s="24" t="s">
        <v>48</v>
      </c>
      <c r="B45" s="5">
        <f>SQRT((7+14.48)/14.73)</f>
        <v>1.2075795926170216</v>
      </c>
      <c r="C45" s="6">
        <f t="shared" si="14"/>
        <v>332.08438796968096</v>
      </c>
      <c r="D45" s="6">
        <f t="shared" si="15"/>
        <v>211.32642870797878</v>
      </c>
      <c r="E45" s="6">
        <f t="shared" si="0"/>
        <v>301.89489815425543</v>
      </c>
      <c r="F45" s="6">
        <f t="shared" si="16"/>
        <v>211.32642870797878</v>
      </c>
      <c r="G45" s="6">
        <f t="shared" si="35"/>
        <v>501.145530936064</v>
      </c>
      <c r="H45" s="6">
        <f t="shared" si="36"/>
        <v>313.97069408042563</v>
      </c>
      <c r="I45" s="18">
        <f t="shared" si="36"/>
        <v>708.7268065724472</v>
      </c>
      <c r="J45" s="18">
        <f t="shared" si="37"/>
        <v>444.02161375623194</v>
      </c>
      <c r="K45" s="6">
        <f t="shared" si="18"/>
        <v>1086.8216333553194</v>
      </c>
      <c r="L45" s="6">
        <f t="shared" si="30"/>
        <v>627.9413881608513</v>
      </c>
      <c r="M45" s="6">
        <f t="shared" si="30"/>
        <v>905.6846944627662</v>
      </c>
      <c r="N45" s="6">
        <f t="shared" si="20"/>
        <v>570.5813575115427</v>
      </c>
      <c r="O45" s="18">
        <f t="shared" si="20"/>
        <v>1280.831578142977</v>
      </c>
      <c r="P45" s="18">
        <f t="shared" si="21"/>
        <v>807.7777819488374</v>
      </c>
      <c r="Q45" s="6">
        <f t="shared" si="34"/>
        <v>1932.1273481872347</v>
      </c>
      <c r="R45" s="6">
        <f t="shared" si="34"/>
        <v>1195.5037966908515</v>
      </c>
      <c r="S45" s="6">
        <f t="shared" si="34"/>
        <v>966.0636740936174</v>
      </c>
      <c r="T45" s="6">
        <f t="shared" si="38"/>
        <v>608.6201146789789</v>
      </c>
      <c r="U45" s="18">
        <f t="shared" si="38"/>
        <v>1366.2203500191754</v>
      </c>
      <c r="V45" s="18">
        <f t="shared" si="38"/>
        <v>860.7188205120805</v>
      </c>
      <c r="W45" s="6">
        <f t="shared" si="31"/>
        <v>1932.1273481872347</v>
      </c>
      <c r="X45" s="6">
        <f t="shared" si="31"/>
        <v>1195.5037966908515</v>
      </c>
      <c r="Y45" s="6">
        <f t="shared" si="31"/>
        <v>1207.5795926170217</v>
      </c>
      <c r="Z45" s="6">
        <f t="shared" si="39"/>
        <v>760.7751433487236</v>
      </c>
      <c r="AA45" s="18">
        <f t="shared" si="39"/>
        <v>1707.775437523969</v>
      </c>
      <c r="AB45" s="18">
        <f t="shared" si="39"/>
        <v>1075.8985256401006</v>
      </c>
      <c r="AC45" s="6">
        <f t="shared" si="32"/>
        <v>2656.6751037574477</v>
      </c>
      <c r="AD45" s="6">
        <f t="shared" si="32"/>
        <v>1642.3082459591494</v>
      </c>
      <c r="AE45" s="6">
        <f t="shared" si="32"/>
        <v>1750.9904092946813</v>
      </c>
      <c r="AF45" s="6">
        <f t="shared" si="28"/>
        <v>1103.1239578556492</v>
      </c>
      <c r="AG45" s="18">
        <f t="shared" si="28"/>
        <v>2476.2743844097554</v>
      </c>
      <c r="AH45" s="18">
        <f t="shared" si="28"/>
        <v>1560.052862178146</v>
      </c>
      <c r="AI45" s="6">
        <f t="shared" si="29"/>
        <v>3622.7387778510647</v>
      </c>
      <c r="AJ45" s="6">
        <f t="shared" si="29"/>
        <v>2246.0980422676603</v>
      </c>
      <c r="AK45" s="6">
        <f t="shared" si="25"/>
        <v>3018.948981542554</v>
      </c>
      <c r="AL45" s="6">
        <f t="shared" si="25"/>
        <v>1415.041766628626</v>
      </c>
      <c r="AM45" s="18">
        <f t="shared" si="25"/>
        <v>4269.438593809923</v>
      </c>
      <c r="AN45" s="18">
        <f t="shared" si="25"/>
        <v>2001.171257690587</v>
      </c>
      <c r="AO45" s="6">
        <f t="shared" si="40"/>
        <v>6037.897963085108</v>
      </c>
      <c r="AP45" s="6">
        <f t="shared" si="40"/>
        <v>3743.4967371127673</v>
      </c>
      <c r="AQ45" s="6">
        <f t="shared" si="27"/>
        <v>6037.897963085108</v>
      </c>
      <c r="AR45" s="6">
        <f t="shared" si="27"/>
        <v>3803.8757167436183</v>
      </c>
      <c r="AS45" s="18">
        <f t="shared" si="27"/>
        <v>8538.877187619846</v>
      </c>
      <c r="AT45" s="18">
        <f t="shared" si="27"/>
        <v>5379.492628200503</v>
      </c>
      <c r="AU45" s="6">
        <f t="shared" si="33"/>
        <v>12075.795926170216</v>
      </c>
      <c r="AV45" s="6">
        <f t="shared" si="33"/>
        <v>7486.993474225535</v>
      </c>
    </row>
    <row r="46" spans="1:48" ht="15">
      <c r="A46" s="24" t="s">
        <v>49</v>
      </c>
      <c r="B46" s="5">
        <f>SQRT((8+14.48)/14.73)</f>
        <v>1.235369230270221</v>
      </c>
      <c r="C46" s="6">
        <f t="shared" si="14"/>
        <v>339.7265383243108</v>
      </c>
      <c r="D46" s="6">
        <f t="shared" si="15"/>
        <v>216.1896152972887</v>
      </c>
      <c r="E46" s="6">
        <f t="shared" si="0"/>
        <v>308.8423075675553</v>
      </c>
      <c r="F46" s="6">
        <f t="shared" si="16"/>
        <v>216.1896152972887</v>
      </c>
      <c r="G46" s="6">
        <f t="shared" si="35"/>
        <v>512.6782305621417</v>
      </c>
      <c r="H46" s="6">
        <f t="shared" si="36"/>
        <v>321.1959998702575</v>
      </c>
      <c r="I46" s="18">
        <f t="shared" si="36"/>
        <v>725.0365067944215</v>
      </c>
      <c r="J46" s="18">
        <f t="shared" si="37"/>
        <v>454.239739196505</v>
      </c>
      <c r="K46" s="6">
        <f t="shared" si="18"/>
        <v>1111.832307243199</v>
      </c>
      <c r="L46" s="6">
        <f t="shared" si="30"/>
        <v>642.391999740515</v>
      </c>
      <c r="M46" s="6">
        <f t="shared" si="30"/>
        <v>926.5269227026658</v>
      </c>
      <c r="N46" s="6">
        <f t="shared" si="20"/>
        <v>583.7119613026795</v>
      </c>
      <c r="O46" s="18">
        <f t="shared" si="20"/>
        <v>1310.3069399899184</v>
      </c>
      <c r="P46" s="18">
        <f t="shared" si="21"/>
        <v>826.3669101536418</v>
      </c>
      <c r="Q46" s="6">
        <f t="shared" si="34"/>
        <v>1976.5907684323538</v>
      </c>
      <c r="R46" s="6">
        <f t="shared" si="34"/>
        <v>1223.0155379675189</v>
      </c>
      <c r="S46" s="6">
        <f t="shared" si="34"/>
        <v>988.2953842161769</v>
      </c>
      <c r="T46" s="6">
        <f t="shared" si="38"/>
        <v>622.6260920561914</v>
      </c>
      <c r="U46" s="18">
        <f t="shared" si="38"/>
        <v>1397.6607359892462</v>
      </c>
      <c r="V46" s="18">
        <f t="shared" si="38"/>
        <v>880.5262636732251</v>
      </c>
      <c r="W46" s="6">
        <f t="shared" si="31"/>
        <v>1976.5907684323538</v>
      </c>
      <c r="X46" s="6">
        <f t="shared" si="31"/>
        <v>1223.0155379675189</v>
      </c>
      <c r="Y46" s="6">
        <f t="shared" si="31"/>
        <v>1235.3692302702211</v>
      </c>
      <c r="Z46" s="6">
        <f t="shared" si="39"/>
        <v>778.2826150702392</v>
      </c>
      <c r="AA46" s="18">
        <f t="shared" si="39"/>
        <v>1747.0759199865577</v>
      </c>
      <c r="AB46" s="18">
        <f t="shared" si="39"/>
        <v>1100.6578295915315</v>
      </c>
      <c r="AC46" s="6">
        <f t="shared" si="32"/>
        <v>2717.8123065944865</v>
      </c>
      <c r="AD46" s="6">
        <f t="shared" si="32"/>
        <v>1680.1021531675005</v>
      </c>
      <c r="AE46" s="6">
        <f t="shared" si="32"/>
        <v>1791.2853838918206</v>
      </c>
      <c r="AF46" s="6">
        <f t="shared" si="28"/>
        <v>1128.509791851847</v>
      </c>
      <c r="AG46" s="18">
        <f t="shared" si="28"/>
        <v>2533.260083980509</v>
      </c>
      <c r="AH46" s="18">
        <f t="shared" si="28"/>
        <v>1595.9538529077206</v>
      </c>
      <c r="AI46" s="6">
        <f t="shared" si="29"/>
        <v>3706.1076908106634</v>
      </c>
      <c r="AJ46" s="6">
        <f t="shared" si="29"/>
        <v>2297.786768302611</v>
      </c>
      <c r="AK46" s="6">
        <f t="shared" si="25"/>
        <v>3088.423075675553</v>
      </c>
      <c r="AL46" s="6">
        <f t="shared" si="25"/>
        <v>1447.605664030645</v>
      </c>
      <c r="AM46" s="18">
        <f t="shared" si="25"/>
        <v>4367.689799966394</v>
      </c>
      <c r="AN46" s="18">
        <f t="shared" si="25"/>
        <v>2047.2235630402483</v>
      </c>
      <c r="AO46" s="6">
        <f t="shared" si="40"/>
        <v>6176.846151351106</v>
      </c>
      <c r="AP46" s="6">
        <f t="shared" si="40"/>
        <v>3829.6446138376855</v>
      </c>
      <c r="AQ46" s="6">
        <f t="shared" si="27"/>
        <v>6176.846151351106</v>
      </c>
      <c r="AR46" s="6">
        <f t="shared" si="27"/>
        <v>3891.4130753511963</v>
      </c>
      <c r="AS46" s="18">
        <f t="shared" si="27"/>
        <v>8735.379599932789</v>
      </c>
      <c r="AT46" s="18">
        <f t="shared" si="27"/>
        <v>5503.2891479576565</v>
      </c>
      <c r="AU46" s="6">
        <f t="shared" si="33"/>
        <v>12353.692302702211</v>
      </c>
      <c r="AV46" s="6">
        <f t="shared" si="33"/>
        <v>7659.289227675371</v>
      </c>
    </row>
    <row r="47" spans="1:48" ht="15">
      <c r="A47" s="24" t="s">
        <v>50</v>
      </c>
      <c r="B47" s="5">
        <f>SQRT((9+14.48)/14.73)</f>
        <v>1.2625473447327769</v>
      </c>
      <c r="C47" s="6">
        <f t="shared" si="14"/>
        <v>347.2005198015136</v>
      </c>
      <c r="D47" s="6">
        <f t="shared" si="15"/>
        <v>220.94578532823596</v>
      </c>
      <c r="E47" s="6">
        <f t="shared" si="0"/>
        <v>315.6368361831942</v>
      </c>
      <c r="F47" s="6">
        <f t="shared" si="16"/>
        <v>220.94578532823596</v>
      </c>
      <c r="G47" s="6">
        <f t="shared" si="35"/>
        <v>523.9571480641024</v>
      </c>
      <c r="H47" s="6">
        <f t="shared" si="36"/>
        <v>328.262309630522</v>
      </c>
      <c r="I47" s="18">
        <f t="shared" si="36"/>
        <v>740.9873048945816</v>
      </c>
      <c r="J47" s="18">
        <f t="shared" si="37"/>
        <v>464.23301029540045</v>
      </c>
      <c r="K47" s="6">
        <f t="shared" si="18"/>
        <v>1136.2926102594993</v>
      </c>
      <c r="L47" s="6">
        <f aca="true" t="shared" si="41" ref="L47:M54">$B47*L$6</f>
        <v>656.524619261044</v>
      </c>
      <c r="M47" s="6">
        <f t="shared" si="41"/>
        <v>946.9105085495827</v>
      </c>
      <c r="N47" s="6">
        <f t="shared" si="20"/>
        <v>596.5536203862371</v>
      </c>
      <c r="O47" s="18">
        <f t="shared" si="20"/>
        <v>1339.1336835444245</v>
      </c>
      <c r="P47" s="18">
        <f t="shared" si="21"/>
        <v>844.546976422017</v>
      </c>
      <c r="Q47" s="6">
        <f t="shared" si="34"/>
        <v>2020.0757515724429</v>
      </c>
      <c r="R47" s="6">
        <f t="shared" si="34"/>
        <v>1249.921871285449</v>
      </c>
      <c r="S47" s="6">
        <f t="shared" si="34"/>
        <v>1010.0378757862214</v>
      </c>
      <c r="T47" s="6">
        <f t="shared" si="38"/>
        <v>636.3238617453195</v>
      </c>
      <c r="U47" s="18">
        <f t="shared" si="38"/>
        <v>1428.409262447386</v>
      </c>
      <c r="V47" s="18">
        <f t="shared" si="38"/>
        <v>899.8978353418532</v>
      </c>
      <c r="W47" s="6">
        <f aca="true" t="shared" si="42" ref="W47:Y55">$B47*W$6</f>
        <v>2020.0757515724429</v>
      </c>
      <c r="X47" s="6">
        <f t="shared" si="42"/>
        <v>1249.921871285449</v>
      </c>
      <c r="Y47" s="6">
        <f t="shared" si="42"/>
        <v>1262.5473447327768</v>
      </c>
      <c r="Z47" s="6">
        <f t="shared" si="39"/>
        <v>795.4048271816495</v>
      </c>
      <c r="AA47" s="18">
        <f t="shared" si="39"/>
        <v>1785.5115780592325</v>
      </c>
      <c r="AB47" s="18">
        <f t="shared" si="39"/>
        <v>1124.8722941773165</v>
      </c>
      <c r="AC47" s="6">
        <f aca="true" t="shared" si="43" ref="AC47:AE55">$B47*AC$6</f>
        <v>2777.604158412109</v>
      </c>
      <c r="AD47" s="6">
        <f t="shared" si="43"/>
        <v>1717.0643888365764</v>
      </c>
      <c r="AE47" s="6">
        <f t="shared" si="43"/>
        <v>1830.6936498625264</v>
      </c>
      <c r="AF47" s="6">
        <f t="shared" si="28"/>
        <v>1153.3369994133916</v>
      </c>
      <c r="AG47" s="18">
        <f t="shared" si="28"/>
        <v>2588.9917881858873</v>
      </c>
      <c r="AH47" s="18">
        <f t="shared" si="28"/>
        <v>1631.064826557109</v>
      </c>
      <c r="AI47" s="6">
        <f t="shared" si="29"/>
        <v>3787.6420341983307</v>
      </c>
      <c r="AJ47" s="6">
        <f t="shared" si="29"/>
        <v>2348.338061202965</v>
      </c>
      <c r="AK47" s="6">
        <f t="shared" si="25"/>
        <v>3156.368361831942</v>
      </c>
      <c r="AL47" s="6">
        <f t="shared" si="25"/>
        <v>1479.452978557868</v>
      </c>
      <c r="AM47" s="18">
        <f t="shared" si="25"/>
        <v>4463.778945148081</v>
      </c>
      <c r="AN47" s="18">
        <f t="shared" si="25"/>
        <v>2092.2624671698086</v>
      </c>
      <c r="AO47" s="6">
        <f t="shared" si="40"/>
        <v>6312.736723663884</v>
      </c>
      <c r="AP47" s="6">
        <f t="shared" si="40"/>
        <v>3913.8967686716082</v>
      </c>
      <c r="AQ47" s="6">
        <f t="shared" si="27"/>
        <v>6312.736723663884</v>
      </c>
      <c r="AR47" s="6">
        <f t="shared" si="27"/>
        <v>3977.024135908247</v>
      </c>
      <c r="AS47" s="18">
        <f t="shared" si="27"/>
        <v>8927.557890296162</v>
      </c>
      <c r="AT47" s="18">
        <f t="shared" si="27"/>
        <v>5624.3614708865825</v>
      </c>
      <c r="AU47" s="6">
        <f aca="true" t="shared" si="44" ref="AU47:AV55">$B47*AU$6</f>
        <v>12625.473447327768</v>
      </c>
      <c r="AV47" s="6">
        <f t="shared" si="44"/>
        <v>7827.7935373432165</v>
      </c>
    </row>
    <row r="48" spans="1:48" ht="18">
      <c r="A48" s="25" t="s">
        <v>51</v>
      </c>
      <c r="B48" s="5">
        <f>SQRT((10+14.48)/14.73)</f>
        <v>1.289152613263896</v>
      </c>
      <c r="C48" s="8">
        <f t="shared" si="14"/>
        <v>354.5169686475714</v>
      </c>
      <c r="D48" s="8">
        <f t="shared" si="15"/>
        <v>225.6017073211818</v>
      </c>
      <c r="E48" s="8">
        <f t="shared" si="0"/>
        <v>322.288153315974</v>
      </c>
      <c r="F48" s="8">
        <f t="shared" si="16"/>
        <v>225.6017073211818</v>
      </c>
      <c r="G48" s="8">
        <f t="shared" si="35"/>
        <v>534.9983345045168</v>
      </c>
      <c r="H48" s="6">
        <f t="shared" si="36"/>
        <v>335.17967944861294</v>
      </c>
      <c r="I48" s="18">
        <f t="shared" si="36"/>
        <v>756.6019005033056</v>
      </c>
      <c r="J48" s="18">
        <f t="shared" si="37"/>
        <v>474.015648508095</v>
      </c>
      <c r="K48" s="8">
        <f t="shared" si="18"/>
        <v>1160.2373519375064</v>
      </c>
      <c r="L48" s="6">
        <f t="shared" si="41"/>
        <v>670.3593588972259</v>
      </c>
      <c r="M48" s="6">
        <f t="shared" si="41"/>
        <v>966.864459947922</v>
      </c>
      <c r="N48" s="6">
        <f t="shared" si="20"/>
        <v>609.1246097671908</v>
      </c>
      <c r="O48" s="18">
        <f t="shared" si="20"/>
        <v>1367.3528322348895</v>
      </c>
      <c r="P48" s="18">
        <f t="shared" si="21"/>
        <v>862.3438528628037</v>
      </c>
      <c r="Q48" s="6">
        <f aca="true" t="shared" si="45" ref="Q48:S54">$B48*Q$6</f>
        <v>2062.6441812222333</v>
      </c>
      <c r="R48" s="6">
        <f t="shared" si="45"/>
        <v>1276.261087131257</v>
      </c>
      <c r="S48" s="6">
        <f t="shared" si="45"/>
        <v>1031.3220906111167</v>
      </c>
      <c r="T48" s="6">
        <f t="shared" si="38"/>
        <v>649.7329170850036</v>
      </c>
      <c r="U48" s="18">
        <f t="shared" si="38"/>
        <v>1458.5096877172155</v>
      </c>
      <c r="V48" s="18">
        <f t="shared" si="38"/>
        <v>918.8611032618458</v>
      </c>
      <c r="W48" s="6">
        <f t="shared" si="42"/>
        <v>2062.6441812222333</v>
      </c>
      <c r="X48" s="6">
        <f t="shared" si="42"/>
        <v>1276.261087131257</v>
      </c>
      <c r="Y48" s="6">
        <f t="shared" si="42"/>
        <v>1289.152613263896</v>
      </c>
      <c r="Z48" s="6">
        <f t="shared" si="39"/>
        <v>812.1661463562544</v>
      </c>
      <c r="AA48" s="18">
        <f t="shared" si="39"/>
        <v>1823.1371096465193</v>
      </c>
      <c r="AB48" s="18">
        <f t="shared" si="39"/>
        <v>1148.5763790773071</v>
      </c>
      <c r="AC48" s="6">
        <f t="shared" si="43"/>
        <v>2836.135749180571</v>
      </c>
      <c r="AD48" s="6">
        <f t="shared" si="43"/>
        <v>1753.2475540388984</v>
      </c>
      <c r="AE48" s="6">
        <f t="shared" si="43"/>
        <v>1869.2712892326492</v>
      </c>
      <c r="AF48" s="6">
        <f t="shared" si="28"/>
        <v>1177.640912216569</v>
      </c>
      <c r="AG48" s="18">
        <f t="shared" si="28"/>
        <v>2643.548808987453</v>
      </c>
      <c r="AH48" s="18">
        <f t="shared" si="28"/>
        <v>1665.4357496620953</v>
      </c>
      <c r="AI48" s="6">
        <f t="shared" si="29"/>
        <v>3867.457839791688</v>
      </c>
      <c r="AJ48" s="6">
        <f t="shared" si="29"/>
        <v>2397.8238606708464</v>
      </c>
      <c r="AK48" s="6">
        <f t="shared" si="25"/>
        <v>3222.88153315974</v>
      </c>
      <c r="AL48" s="6">
        <f t="shared" si="25"/>
        <v>1510.6290322226332</v>
      </c>
      <c r="AM48" s="18">
        <f t="shared" si="25"/>
        <v>4557.842774116299</v>
      </c>
      <c r="AN48" s="18">
        <f t="shared" si="25"/>
        <v>2136.3520650837913</v>
      </c>
      <c r="AO48" s="6">
        <f t="shared" si="40"/>
        <v>6445.76306631948</v>
      </c>
      <c r="AP48" s="6">
        <f t="shared" si="40"/>
        <v>3996.3731011180776</v>
      </c>
      <c r="AQ48" s="6">
        <f t="shared" si="27"/>
        <v>6445.76306631948</v>
      </c>
      <c r="AR48" s="6">
        <f t="shared" si="27"/>
        <v>4060.8307317812723</v>
      </c>
      <c r="AS48" s="18">
        <f t="shared" si="27"/>
        <v>9115.685548232597</v>
      </c>
      <c r="AT48" s="18">
        <f t="shared" si="27"/>
        <v>5742.881895386536</v>
      </c>
      <c r="AU48" s="6">
        <f t="shared" si="44"/>
        <v>12891.52613263896</v>
      </c>
      <c r="AV48" s="6">
        <f t="shared" si="44"/>
        <v>7992.746202236155</v>
      </c>
    </row>
    <row r="49" spans="1:48" ht="15">
      <c r="A49" s="24" t="s">
        <v>52</v>
      </c>
      <c r="B49" s="5">
        <f>SQRT((11+14.48)/14.73)</f>
        <v>1.3152198002153401</v>
      </c>
      <c r="C49" s="3"/>
      <c r="D49" s="3"/>
      <c r="E49" s="3"/>
      <c r="F49" s="3"/>
      <c r="G49" s="6">
        <f t="shared" si="35"/>
        <v>545.8162170893662</v>
      </c>
      <c r="H49" s="6">
        <f t="shared" si="36"/>
        <v>341.95714805598845</v>
      </c>
      <c r="I49" s="18">
        <f t="shared" si="36"/>
        <v>771.9006967709593</v>
      </c>
      <c r="J49" s="18">
        <f t="shared" si="37"/>
        <v>483.60043653120334</v>
      </c>
      <c r="K49" s="6">
        <f t="shared" si="18"/>
        <v>1183.6978201938061</v>
      </c>
      <c r="L49" s="6">
        <f t="shared" si="41"/>
        <v>683.9142961119769</v>
      </c>
      <c r="M49" s="6">
        <f t="shared" si="41"/>
        <v>986.4148501615051</v>
      </c>
      <c r="N49" s="6">
        <f t="shared" si="20"/>
        <v>621.4413556017482</v>
      </c>
      <c r="O49" s="18">
        <f t="shared" si="20"/>
        <v>1395.001259224625</v>
      </c>
      <c r="P49" s="18">
        <f t="shared" si="21"/>
        <v>879.7807941509968</v>
      </c>
      <c r="Q49" s="6">
        <f t="shared" si="45"/>
        <v>2104.351680344544</v>
      </c>
      <c r="R49" s="6">
        <f t="shared" si="45"/>
        <v>1302.0676022131868</v>
      </c>
      <c r="S49" s="6">
        <f t="shared" si="45"/>
        <v>1052.175840172272</v>
      </c>
      <c r="T49" s="6">
        <f t="shared" si="38"/>
        <v>662.8707793085314</v>
      </c>
      <c r="U49" s="18">
        <f t="shared" si="38"/>
        <v>1488.0013431729333</v>
      </c>
      <c r="V49" s="18">
        <f t="shared" si="38"/>
        <v>937.4408461989481</v>
      </c>
      <c r="W49" s="6">
        <f t="shared" si="42"/>
        <v>2104.351680344544</v>
      </c>
      <c r="X49" s="6">
        <f t="shared" si="42"/>
        <v>1302.0676022131868</v>
      </c>
      <c r="Y49" s="6">
        <f t="shared" si="42"/>
        <v>1315.2198002153402</v>
      </c>
      <c r="Z49" s="6">
        <f t="shared" si="39"/>
        <v>828.5884741356642</v>
      </c>
      <c r="AA49" s="18">
        <f t="shared" si="39"/>
        <v>1860.0016789661665</v>
      </c>
      <c r="AB49" s="18">
        <f t="shared" si="39"/>
        <v>1171.801057748685</v>
      </c>
      <c r="AC49" s="6">
        <f t="shared" si="43"/>
        <v>2893.483560473748</v>
      </c>
      <c r="AD49" s="6">
        <f t="shared" si="43"/>
        <v>1788.6989282928625</v>
      </c>
      <c r="AE49" s="6">
        <f t="shared" si="43"/>
        <v>1907.0687103122432</v>
      </c>
      <c r="AF49" s="6">
        <f t="shared" si="28"/>
        <v>1201.4532874967133</v>
      </c>
      <c r="AG49" s="18">
        <f t="shared" si="28"/>
        <v>2697.0024345009415</v>
      </c>
      <c r="AH49" s="18">
        <f t="shared" si="28"/>
        <v>1699.1115337355932</v>
      </c>
      <c r="AI49" s="6">
        <f t="shared" si="29"/>
        <v>3945.6594006460205</v>
      </c>
      <c r="AJ49" s="6">
        <f t="shared" si="29"/>
        <v>2446.3088284005325</v>
      </c>
      <c r="AK49" s="6">
        <f t="shared" si="25"/>
        <v>3288.0495005383505</v>
      </c>
      <c r="AL49" s="6">
        <f t="shared" si="25"/>
        <v>1541.1745618923355</v>
      </c>
      <c r="AM49" s="18">
        <f t="shared" si="25"/>
        <v>4650.0041974154165</v>
      </c>
      <c r="AN49" s="18">
        <f t="shared" si="25"/>
        <v>2179.549967412554</v>
      </c>
      <c r="AO49" s="6">
        <f t="shared" si="40"/>
        <v>6576.099001076701</v>
      </c>
      <c r="AP49" s="6">
        <f t="shared" si="40"/>
        <v>4077.1813806675545</v>
      </c>
      <c r="AQ49" s="6">
        <f t="shared" si="27"/>
        <v>6576.099001076701</v>
      </c>
      <c r="AR49" s="6">
        <f t="shared" si="27"/>
        <v>4142.942370678322</v>
      </c>
      <c r="AS49" s="18">
        <f t="shared" si="27"/>
        <v>9300.008394830833</v>
      </c>
      <c r="AT49" s="18">
        <f t="shared" si="27"/>
        <v>5859.005288743425</v>
      </c>
      <c r="AU49" s="6">
        <f t="shared" si="44"/>
        <v>13152.198002153402</v>
      </c>
      <c r="AV49" s="6">
        <f t="shared" si="44"/>
        <v>8154.362761335109</v>
      </c>
    </row>
    <row r="50" spans="1:48" ht="15">
      <c r="A50" s="24" t="s">
        <v>53</v>
      </c>
      <c r="B50" s="5">
        <f>SQRT((12+14.48)/14.73)</f>
        <v>1.3407802897834626</v>
      </c>
      <c r="C50" s="3"/>
      <c r="D50" s="3"/>
      <c r="E50" s="3"/>
      <c r="F50" s="3"/>
      <c r="G50" s="6">
        <f t="shared" si="35"/>
        <v>556.423820260137</v>
      </c>
      <c r="H50" s="6">
        <f t="shared" si="36"/>
        <v>348.6028753437003</v>
      </c>
      <c r="I50" s="18">
        <f t="shared" si="36"/>
        <v>786.9021130393352</v>
      </c>
      <c r="J50" s="18">
        <f t="shared" si="37"/>
        <v>492.9989141933184</v>
      </c>
      <c r="K50" s="6">
        <f t="shared" si="18"/>
        <v>1206.7022608051163</v>
      </c>
      <c r="L50" s="6">
        <f t="shared" si="41"/>
        <v>697.2057506874006</v>
      </c>
      <c r="M50" s="6">
        <f t="shared" si="41"/>
        <v>1005.585217337597</v>
      </c>
      <c r="N50" s="6">
        <f t="shared" si="20"/>
        <v>633.5186869226861</v>
      </c>
      <c r="O50" s="18">
        <f t="shared" si="20"/>
        <v>1422.1122524807263</v>
      </c>
      <c r="P50" s="18">
        <f t="shared" si="21"/>
        <v>896.8787938978446</v>
      </c>
      <c r="Q50" s="6">
        <f t="shared" si="45"/>
        <v>2145.24846365354</v>
      </c>
      <c r="R50" s="6">
        <f t="shared" si="45"/>
        <v>1327.372486885628</v>
      </c>
      <c r="S50" s="6">
        <f t="shared" si="45"/>
        <v>1072.62423182677</v>
      </c>
      <c r="T50" s="6">
        <f t="shared" si="38"/>
        <v>675.7532660508651</v>
      </c>
      <c r="U50" s="18">
        <f t="shared" si="38"/>
        <v>1516.9197359794412</v>
      </c>
      <c r="V50" s="18">
        <f t="shared" si="38"/>
        <v>955.659433667048</v>
      </c>
      <c r="W50" s="6">
        <f t="shared" si="42"/>
        <v>2145.24846365354</v>
      </c>
      <c r="X50" s="6">
        <f t="shared" si="42"/>
        <v>1327.372486885628</v>
      </c>
      <c r="Y50" s="6">
        <f t="shared" si="42"/>
        <v>1340.7802897834626</v>
      </c>
      <c r="Z50" s="6">
        <f t="shared" si="39"/>
        <v>844.6915825635815</v>
      </c>
      <c r="AA50" s="18">
        <f t="shared" si="39"/>
        <v>1896.1496699743016</v>
      </c>
      <c r="AB50" s="18">
        <f t="shared" si="39"/>
        <v>1194.57429208381</v>
      </c>
      <c r="AC50" s="6">
        <f t="shared" si="43"/>
        <v>2949.716637523618</v>
      </c>
      <c r="AD50" s="6">
        <f t="shared" si="43"/>
        <v>1823.461194105509</v>
      </c>
      <c r="AE50" s="6">
        <f t="shared" si="43"/>
        <v>1944.131420186021</v>
      </c>
      <c r="AF50" s="6">
        <f t="shared" si="28"/>
        <v>1224.8027947171931</v>
      </c>
      <c r="AG50" s="18">
        <f t="shared" si="28"/>
        <v>2749.4170214627375</v>
      </c>
      <c r="AH50" s="18">
        <f t="shared" si="28"/>
        <v>1732.1327235215244</v>
      </c>
      <c r="AI50" s="6">
        <f t="shared" si="29"/>
        <v>4022.340869350388</v>
      </c>
      <c r="AJ50" s="6">
        <f t="shared" si="29"/>
        <v>2493.8513389972404</v>
      </c>
      <c r="AK50" s="6">
        <f t="shared" si="25"/>
        <v>3351.9507244586566</v>
      </c>
      <c r="AL50" s="6">
        <f t="shared" si="25"/>
        <v>1571.1263435682615</v>
      </c>
      <c r="AM50" s="18">
        <f t="shared" si="25"/>
        <v>4740.374174935754</v>
      </c>
      <c r="AN50" s="18">
        <f t="shared" si="25"/>
        <v>2221.9081832758866</v>
      </c>
      <c r="AO50" s="6">
        <f t="shared" si="40"/>
        <v>6703.901448917313</v>
      </c>
      <c r="AP50" s="6">
        <f t="shared" si="40"/>
        <v>4156.418898328734</v>
      </c>
      <c r="AQ50" s="6">
        <f t="shared" si="27"/>
        <v>6703.901448917313</v>
      </c>
      <c r="AR50" s="6">
        <f t="shared" si="27"/>
        <v>4223.4579128179075</v>
      </c>
      <c r="AS50" s="18">
        <f t="shared" si="27"/>
        <v>9480.748349871508</v>
      </c>
      <c r="AT50" s="18">
        <f t="shared" si="27"/>
        <v>5972.871460419049</v>
      </c>
      <c r="AU50" s="6">
        <f t="shared" si="44"/>
        <v>13407.802897834626</v>
      </c>
      <c r="AV50" s="6">
        <f t="shared" si="44"/>
        <v>8312.837796657468</v>
      </c>
    </row>
    <row r="51" spans="1:48" ht="15">
      <c r="A51" s="24" t="s">
        <v>54</v>
      </c>
      <c r="B51" s="5">
        <f>SQRT((13+14.48)/14.73)</f>
        <v>1.365862528977632</v>
      </c>
      <c r="C51" s="3"/>
      <c r="D51" s="3"/>
      <c r="E51" s="3"/>
      <c r="F51" s="3"/>
      <c r="G51" s="6">
        <f t="shared" si="35"/>
        <v>566.8329495257173</v>
      </c>
      <c r="H51" s="6">
        <f t="shared" si="36"/>
        <v>355.1242575341843</v>
      </c>
      <c r="I51" s="18">
        <f t="shared" si="36"/>
        <v>801.6228448192136</v>
      </c>
      <c r="J51" s="18">
        <f t="shared" si="37"/>
        <v>502.2215413325193</v>
      </c>
      <c r="K51" s="6">
        <f t="shared" si="18"/>
        <v>1229.276276079869</v>
      </c>
      <c r="L51" s="6">
        <f t="shared" si="41"/>
        <v>710.2485150683686</v>
      </c>
      <c r="M51" s="6">
        <f t="shared" si="41"/>
        <v>1024.3968967332241</v>
      </c>
      <c r="N51" s="6">
        <f t="shared" si="20"/>
        <v>645.3700449419312</v>
      </c>
      <c r="O51" s="18">
        <f t="shared" si="20"/>
        <v>1448.7159846130367</v>
      </c>
      <c r="P51" s="18">
        <f t="shared" si="21"/>
        <v>913.6568809626217</v>
      </c>
      <c r="Q51" s="6">
        <f t="shared" si="45"/>
        <v>2185.3800463642115</v>
      </c>
      <c r="R51" s="6">
        <f t="shared" si="45"/>
        <v>1352.2039036878557</v>
      </c>
      <c r="S51" s="6">
        <f t="shared" si="45"/>
        <v>1092.6900231821057</v>
      </c>
      <c r="T51" s="6">
        <f t="shared" si="38"/>
        <v>688.3947146047266</v>
      </c>
      <c r="U51" s="18">
        <f t="shared" si="38"/>
        <v>1545.2970502539056</v>
      </c>
      <c r="V51" s="18">
        <f t="shared" si="38"/>
        <v>973.5371416599605</v>
      </c>
      <c r="W51" s="6">
        <f t="shared" si="42"/>
        <v>2185.3800463642115</v>
      </c>
      <c r="X51" s="6">
        <f t="shared" si="42"/>
        <v>1352.2039036878557</v>
      </c>
      <c r="Y51" s="6">
        <f t="shared" si="42"/>
        <v>1365.862528977632</v>
      </c>
      <c r="Z51" s="6">
        <f t="shared" si="39"/>
        <v>860.4933932559082</v>
      </c>
      <c r="AA51" s="18">
        <f t="shared" si="39"/>
        <v>1931.6213128173817</v>
      </c>
      <c r="AB51" s="18">
        <f t="shared" si="39"/>
        <v>1216.9214270749505</v>
      </c>
      <c r="AC51" s="6">
        <f t="shared" si="43"/>
        <v>3004.8975637507906</v>
      </c>
      <c r="AD51" s="6">
        <f t="shared" si="43"/>
        <v>1857.5730394095797</v>
      </c>
      <c r="AE51" s="6">
        <f t="shared" si="43"/>
        <v>1980.5006670175665</v>
      </c>
      <c r="AF51" s="6">
        <f t="shared" si="28"/>
        <v>1247.7154202210668</v>
      </c>
      <c r="AG51" s="18">
        <f t="shared" si="28"/>
        <v>2800.850903585204</v>
      </c>
      <c r="AH51" s="18">
        <f t="shared" si="28"/>
        <v>1764.5360692586785</v>
      </c>
      <c r="AI51" s="6">
        <f t="shared" si="29"/>
        <v>4097.587586932897</v>
      </c>
      <c r="AJ51" s="6">
        <f t="shared" si="29"/>
        <v>2540.5043038983954</v>
      </c>
      <c r="AK51" s="6">
        <f t="shared" si="25"/>
        <v>3414.65632244408</v>
      </c>
      <c r="AL51" s="6">
        <f t="shared" si="25"/>
        <v>1600.5177114559892</v>
      </c>
      <c r="AM51" s="18">
        <f t="shared" si="25"/>
        <v>4829.053282043455</v>
      </c>
      <c r="AN51" s="18">
        <f t="shared" si="25"/>
        <v>2263.473854359408</v>
      </c>
      <c r="AO51" s="6">
        <f t="shared" si="40"/>
        <v>6829.31264488816</v>
      </c>
      <c r="AP51" s="6">
        <f t="shared" si="40"/>
        <v>4234.17383983066</v>
      </c>
      <c r="AQ51" s="6">
        <f t="shared" si="27"/>
        <v>6829.31264488816</v>
      </c>
      <c r="AR51" s="6">
        <f t="shared" si="27"/>
        <v>4302.466966279541</v>
      </c>
      <c r="AS51" s="18">
        <f t="shared" si="27"/>
        <v>9658.10656408691</v>
      </c>
      <c r="AT51" s="18">
        <f t="shared" si="27"/>
        <v>6084.607135374753</v>
      </c>
      <c r="AU51" s="6">
        <f t="shared" si="44"/>
        <v>13658.62528977632</v>
      </c>
      <c r="AV51" s="6">
        <f t="shared" si="44"/>
        <v>8468.34767966132</v>
      </c>
    </row>
    <row r="52" spans="1:48" ht="15">
      <c r="A52" s="24" t="s">
        <v>55</v>
      </c>
      <c r="B52" s="5">
        <f>SQRT((14+14.48)/14.73)</f>
        <v>1.3904923986338509</v>
      </c>
      <c r="C52" s="3"/>
      <c r="D52" s="3"/>
      <c r="E52" s="3"/>
      <c r="F52" s="3"/>
      <c r="G52" s="6">
        <f t="shared" si="35"/>
        <v>577.0543454330481</v>
      </c>
      <c r="H52" s="6">
        <f t="shared" si="36"/>
        <v>361.52802364480124</v>
      </c>
      <c r="I52" s="18">
        <f t="shared" si="36"/>
        <v>816.0780815377457</v>
      </c>
      <c r="J52" s="18">
        <f t="shared" si="37"/>
        <v>511.2778342164189</v>
      </c>
      <c r="K52" s="6">
        <f t="shared" si="18"/>
        <v>1251.4431587704657</v>
      </c>
      <c r="L52" s="6">
        <f t="shared" si="41"/>
        <v>723.0560472896025</v>
      </c>
      <c r="M52" s="6">
        <f t="shared" si="41"/>
        <v>1042.8692989753881</v>
      </c>
      <c r="N52" s="6">
        <f t="shared" si="20"/>
        <v>657.0076583544945</v>
      </c>
      <c r="O52" s="18">
        <f t="shared" si="20"/>
        <v>1474.8399063935162</v>
      </c>
      <c r="P52" s="18">
        <f t="shared" si="21"/>
        <v>930.1323676321775</v>
      </c>
      <c r="Q52" s="6">
        <f t="shared" si="45"/>
        <v>2224.7878378141613</v>
      </c>
      <c r="R52" s="6">
        <f t="shared" si="45"/>
        <v>1376.5874746475124</v>
      </c>
      <c r="S52" s="6">
        <f t="shared" si="45"/>
        <v>1112.3939189070807</v>
      </c>
      <c r="T52" s="6">
        <f t="shared" si="38"/>
        <v>700.8081689114608</v>
      </c>
      <c r="U52" s="18">
        <f t="shared" si="38"/>
        <v>1573.1625668197505</v>
      </c>
      <c r="V52" s="18">
        <f t="shared" si="38"/>
        <v>991.0924170964429</v>
      </c>
      <c r="W52" s="6">
        <f t="shared" si="42"/>
        <v>2224.7878378141613</v>
      </c>
      <c r="X52" s="6">
        <f t="shared" si="42"/>
        <v>1376.5874746475124</v>
      </c>
      <c r="Y52" s="6">
        <f t="shared" si="42"/>
        <v>1390.4923986338508</v>
      </c>
      <c r="Z52" s="6">
        <f t="shared" si="39"/>
        <v>876.0102111393261</v>
      </c>
      <c r="AA52" s="18">
        <f t="shared" si="39"/>
        <v>1966.453208524688</v>
      </c>
      <c r="AB52" s="18">
        <f t="shared" si="39"/>
        <v>1238.8655213705536</v>
      </c>
      <c r="AC52" s="6">
        <f t="shared" si="43"/>
        <v>3059.083276994472</v>
      </c>
      <c r="AD52" s="6">
        <f t="shared" si="43"/>
        <v>1891.0696621420373</v>
      </c>
      <c r="AE52" s="6">
        <f t="shared" si="43"/>
        <v>2016.2139780190837</v>
      </c>
      <c r="AF52" s="6">
        <f t="shared" si="28"/>
        <v>1270.2148061520227</v>
      </c>
      <c r="AG52" s="18">
        <f t="shared" si="28"/>
        <v>2851.357152360798</v>
      </c>
      <c r="AH52" s="18">
        <f t="shared" si="28"/>
        <v>1796.3550059873025</v>
      </c>
      <c r="AI52" s="6">
        <f t="shared" si="29"/>
        <v>4171.4771959015525</v>
      </c>
      <c r="AJ52" s="6">
        <f t="shared" si="29"/>
        <v>2586.3158614589624</v>
      </c>
      <c r="AK52" s="6">
        <f t="shared" si="25"/>
        <v>3476.230996584627</v>
      </c>
      <c r="AL52" s="6">
        <f t="shared" si="25"/>
        <v>1629.3789927191465</v>
      </c>
      <c r="AM52" s="18">
        <f t="shared" si="25"/>
        <v>4916.133021311721</v>
      </c>
      <c r="AN52" s="18">
        <f t="shared" si="25"/>
        <v>2304.2898697492296</v>
      </c>
      <c r="AO52" s="6">
        <f t="shared" si="40"/>
        <v>6952.461993169254</v>
      </c>
      <c r="AP52" s="6">
        <f t="shared" si="40"/>
        <v>4310.526435764938</v>
      </c>
      <c r="AQ52" s="6">
        <f t="shared" si="27"/>
        <v>6952.461993169254</v>
      </c>
      <c r="AR52" s="6">
        <f t="shared" si="27"/>
        <v>4380.05105569663</v>
      </c>
      <c r="AS52" s="18">
        <f t="shared" si="27"/>
        <v>9832.266042623442</v>
      </c>
      <c r="AT52" s="18">
        <f t="shared" si="27"/>
        <v>6194.3276068527675</v>
      </c>
      <c r="AU52" s="6">
        <f t="shared" si="44"/>
        <v>13904.923986338508</v>
      </c>
      <c r="AV52" s="6">
        <f t="shared" si="44"/>
        <v>8621.052871529875</v>
      </c>
    </row>
    <row r="53" spans="1:48" ht="15">
      <c r="A53" s="24" t="s">
        <v>56</v>
      </c>
      <c r="B53" s="5">
        <f>SQRT((15+14.48)/14.73)</f>
        <v>1.4146935262635039</v>
      </c>
      <c r="C53" s="3"/>
      <c r="D53" s="3"/>
      <c r="E53" s="3"/>
      <c r="F53" s="3"/>
      <c r="G53" s="6">
        <f t="shared" si="35"/>
        <v>587.0978133993541</v>
      </c>
      <c r="H53" s="6">
        <f t="shared" si="36"/>
        <v>367.820316828511</v>
      </c>
      <c r="I53" s="18">
        <f t="shared" si="36"/>
        <v>830.2816901489552</v>
      </c>
      <c r="J53" s="18">
        <f t="shared" si="37"/>
        <v>520.176480575249</v>
      </c>
      <c r="K53" s="6">
        <f t="shared" si="18"/>
        <v>1273.2241736371534</v>
      </c>
      <c r="L53" s="6">
        <f t="shared" si="41"/>
        <v>735.640633657022</v>
      </c>
      <c r="M53" s="6">
        <f t="shared" si="41"/>
        <v>1061.020144697628</v>
      </c>
      <c r="N53" s="6">
        <f t="shared" si="20"/>
        <v>668.4426911595056</v>
      </c>
      <c r="O53" s="18">
        <f t="shared" si="20"/>
        <v>1500.5090785824493</v>
      </c>
      <c r="P53" s="18">
        <f t="shared" si="21"/>
        <v>946.3210588926646</v>
      </c>
      <c r="Q53" s="6">
        <f t="shared" si="45"/>
        <v>2263.5096420216064</v>
      </c>
      <c r="R53" s="6">
        <f t="shared" si="45"/>
        <v>1400.5465910008688</v>
      </c>
      <c r="S53" s="6">
        <f t="shared" si="45"/>
        <v>1131.7548210108032</v>
      </c>
      <c r="T53" s="6">
        <f t="shared" si="38"/>
        <v>713.0055372368059</v>
      </c>
      <c r="U53" s="18">
        <f t="shared" si="38"/>
        <v>1600.5430171546125</v>
      </c>
      <c r="V53" s="18">
        <f t="shared" si="38"/>
        <v>1008.3421008074059</v>
      </c>
      <c r="W53" s="6">
        <f t="shared" si="42"/>
        <v>2263.5096420216064</v>
      </c>
      <c r="X53" s="6">
        <f t="shared" si="42"/>
        <v>1400.5465910008688</v>
      </c>
      <c r="Y53" s="6">
        <f t="shared" si="42"/>
        <v>1414.6935262635038</v>
      </c>
      <c r="Z53" s="6">
        <f t="shared" si="39"/>
        <v>891.2569215460074</v>
      </c>
      <c r="AA53" s="18">
        <f t="shared" si="39"/>
        <v>2000.6787714432655</v>
      </c>
      <c r="AB53" s="18">
        <f t="shared" si="39"/>
        <v>1260.4276260092572</v>
      </c>
      <c r="AC53" s="6">
        <f t="shared" si="43"/>
        <v>3112.3257577797085</v>
      </c>
      <c r="AD53" s="6">
        <f t="shared" si="43"/>
        <v>1923.9831957183653</v>
      </c>
      <c r="AE53" s="6">
        <f t="shared" si="43"/>
        <v>2051.3056130820805</v>
      </c>
      <c r="AF53" s="6">
        <f t="shared" si="28"/>
        <v>1292.3225362417108</v>
      </c>
      <c r="AG53" s="18">
        <f t="shared" si="28"/>
        <v>2900.984218592735</v>
      </c>
      <c r="AH53" s="18">
        <f t="shared" si="28"/>
        <v>1827.6200577134232</v>
      </c>
      <c r="AI53" s="6">
        <f t="shared" si="29"/>
        <v>4244.080578790512</v>
      </c>
      <c r="AJ53" s="6">
        <f t="shared" si="29"/>
        <v>2631.3299588501172</v>
      </c>
      <c r="AK53" s="6">
        <f t="shared" si="25"/>
        <v>3536.73381565876</v>
      </c>
      <c r="AL53" s="6">
        <f t="shared" si="25"/>
        <v>1657.7378740755737</v>
      </c>
      <c r="AM53" s="18">
        <f t="shared" si="25"/>
        <v>5001.696928608164</v>
      </c>
      <c r="AN53" s="18">
        <f t="shared" si="25"/>
        <v>2344.3953843772183</v>
      </c>
      <c r="AO53" s="6">
        <f t="shared" si="40"/>
        <v>7073.46763131752</v>
      </c>
      <c r="AP53" s="6">
        <f t="shared" si="40"/>
        <v>4385.549931416862</v>
      </c>
      <c r="AQ53" s="6">
        <f t="shared" si="27"/>
        <v>7073.46763131752</v>
      </c>
      <c r="AR53" s="6">
        <f t="shared" si="27"/>
        <v>4456.284607730037</v>
      </c>
      <c r="AS53" s="18">
        <f t="shared" si="27"/>
        <v>10003.393857216328</v>
      </c>
      <c r="AT53" s="18">
        <f t="shared" si="27"/>
        <v>6302.138130046286</v>
      </c>
      <c r="AU53" s="6">
        <f t="shared" si="44"/>
        <v>14146.93526263504</v>
      </c>
      <c r="AV53" s="6">
        <f t="shared" si="44"/>
        <v>8771.099862833724</v>
      </c>
    </row>
    <row r="54" spans="1:48" ht="15.75">
      <c r="A54" s="26" t="s">
        <v>57</v>
      </c>
      <c r="B54" s="5">
        <f>SQRT((20+14.48)/14.73)</f>
        <v>1.5299676748933624</v>
      </c>
      <c r="C54" s="3"/>
      <c r="D54" s="3"/>
      <c r="E54" s="3"/>
      <c r="F54" s="3"/>
      <c r="G54" s="6">
        <f t="shared" si="35"/>
        <v>634.9365850807454</v>
      </c>
      <c r="H54" s="6">
        <f t="shared" si="36"/>
        <v>397.7915954722742</v>
      </c>
      <c r="I54" s="18">
        <f t="shared" si="36"/>
        <v>897.9359298680488</v>
      </c>
      <c r="J54" s="18">
        <f t="shared" si="37"/>
        <v>562.5622693149221</v>
      </c>
      <c r="K54" s="6">
        <f t="shared" si="18"/>
        <v>1376.970907404026</v>
      </c>
      <c r="L54" s="6">
        <f t="shared" si="41"/>
        <v>795.5831909445484</v>
      </c>
      <c r="M54" s="9">
        <f t="shared" si="41"/>
        <v>1147.475756170022</v>
      </c>
      <c r="N54" s="9">
        <f t="shared" si="20"/>
        <v>722.9097263871138</v>
      </c>
      <c r="O54" s="19">
        <f t="shared" si="20"/>
        <v>1622.7757768699678</v>
      </c>
      <c r="P54" s="19">
        <f t="shared" si="21"/>
        <v>1023.4305899459929</v>
      </c>
      <c r="Q54" s="9">
        <f t="shared" si="45"/>
        <v>2447.9482798293798</v>
      </c>
      <c r="R54" s="9">
        <f t="shared" si="45"/>
        <v>1514.6679981444288</v>
      </c>
      <c r="S54" s="6">
        <f t="shared" si="45"/>
        <v>1223.9741399146899</v>
      </c>
      <c r="T54" s="6">
        <f t="shared" si="38"/>
        <v>771.1037081462547</v>
      </c>
      <c r="U54" s="18">
        <f t="shared" si="38"/>
        <v>1730.9608286612988</v>
      </c>
      <c r="V54" s="18">
        <f t="shared" si="38"/>
        <v>1090.5053220566183</v>
      </c>
      <c r="W54" s="6">
        <f t="shared" si="42"/>
        <v>2447.9482798293798</v>
      </c>
      <c r="X54" s="6">
        <f t="shared" si="42"/>
        <v>1514.6679981444288</v>
      </c>
      <c r="Y54" s="6">
        <f t="shared" si="42"/>
        <v>1529.9676748933623</v>
      </c>
      <c r="Z54" s="6">
        <f t="shared" si="39"/>
        <v>963.8796351828183</v>
      </c>
      <c r="AA54" s="18">
        <f t="shared" si="39"/>
        <v>2163.7010358266234</v>
      </c>
      <c r="AB54" s="18">
        <f t="shared" si="39"/>
        <v>1363.1316525707728</v>
      </c>
      <c r="AC54" s="6">
        <f t="shared" si="43"/>
        <v>3365.9288847653975</v>
      </c>
      <c r="AD54" s="6">
        <f t="shared" si="43"/>
        <v>2080.756037854973</v>
      </c>
      <c r="AE54" s="6">
        <f t="shared" si="43"/>
        <v>2218.4531285953753</v>
      </c>
      <c r="AF54" s="6">
        <f t="shared" si="28"/>
        <v>1397.6254710150865</v>
      </c>
      <c r="AG54" s="18">
        <f t="shared" si="28"/>
        <v>3137.3665019486043</v>
      </c>
      <c r="AH54" s="18">
        <f t="shared" si="28"/>
        <v>1976.5408962276206</v>
      </c>
      <c r="AI54" s="6">
        <f t="shared" si="29"/>
        <v>4589.903024680088</v>
      </c>
      <c r="AJ54" s="6">
        <f t="shared" si="29"/>
        <v>2845.739875301654</v>
      </c>
      <c r="AK54" s="6">
        <f t="shared" si="25"/>
        <v>3824.919187233406</v>
      </c>
      <c r="AL54" s="6">
        <f t="shared" si="25"/>
        <v>1792.816121440042</v>
      </c>
      <c r="AM54" s="18">
        <f t="shared" si="25"/>
        <v>5409.2525895665585</v>
      </c>
      <c r="AN54" s="18">
        <f t="shared" si="25"/>
        <v>2535.4248737816374</v>
      </c>
      <c r="AO54" s="6">
        <f t="shared" si="40"/>
        <v>7649.838374466812</v>
      </c>
      <c r="AP54" s="6">
        <f t="shared" si="40"/>
        <v>4742.899792169424</v>
      </c>
      <c r="AQ54" s="6">
        <f t="shared" si="27"/>
        <v>7649.838374466812</v>
      </c>
      <c r="AR54" s="6">
        <f t="shared" si="27"/>
        <v>4819.398175914092</v>
      </c>
      <c r="AS54" s="18">
        <f t="shared" si="27"/>
        <v>10818.505179133117</v>
      </c>
      <c r="AT54" s="18">
        <f t="shared" si="27"/>
        <v>6815.658262853864</v>
      </c>
      <c r="AU54" s="6">
        <f t="shared" si="44"/>
        <v>15299.676748933623</v>
      </c>
      <c r="AV54" s="6">
        <f t="shared" si="44"/>
        <v>9485.799584338847</v>
      </c>
    </row>
    <row r="55" spans="1:48" ht="18">
      <c r="A55" s="25" t="s">
        <v>58</v>
      </c>
      <c r="B55" s="5">
        <f>SQRT((25+14.48)/14.73)</f>
        <v>1.6371451979544565</v>
      </c>
      <c r="C55" s="3"/>
      <c r="D55" s="3"/>
      <c r="E55" s="3"/>
      <c r="F55" s="3"/>
      <c r="G55" s="8">
        <f t="shared" si="35"/>
        <v>679.4152571510995</v>
      </c>
      <c r="H55" s="9">
        <f t="shared" si="36"/>
        <v>425.65775146815866</v>
      </c>
      <c r="I55" s="19">
        <f t="shared" si="36"/>
        <v>960.8382711462889</v>
      </c>
      <c r="J55" s="19">
        <f t="shared" si="37"/>
        <v>601.9709650555062</v>
      </c>
      <c r="K55" s="9">
        <f t="shared" si="18"/>
        <v>1473.4306781590108</v>
      </c>
      <c r="L55" s="9">
        <f>$B55*L$6</f>
        <v>851.3155029363173</v>
      </c>
      <c r="M55" s="6"/>
      <c r="N55" s="6"/>
      <c r="O55" s="18"/>
      <c r="P55" s="18"/>
      <c r="Q55" s="10"/>
      <c r="R55" s="10"/>
      <c r="S55" s="6">
        <f>$B55*S$6</f>
        <v>1309.7161583635652</v>
      </c>
      <c r="T55" s="6">
        <f t="shared" si="38"/>
        <v>825.1211797690461</v>
      </c>
      <c r="U55" s="18">
        <f t="shared" si="38"/>
        <v>1852.2183540169422</v>
      </c>
      <c r="V55" s="18">
        <f t="shared" si="38"/>
        <v>1166.8975630306736</v>
      </c>
      <c r="W55" s="6">
        <f t="shared" si="42"/>
        <v>2619.4323167271305</v>
      </c>
      <c r="X55" s="6">
        <f t="shared" si="42"/>
        <v>1620.773745974912</v>
      </c>
      <c r="Y55" s="6">
        <f t="shared" si="42"/>
        <v>1637.1451979544565</v>
      </c>
      <c r="Z55" s="6">
        <f t="shared" si="39"/>
        <v>1031.4014747113076</v>
      </c>
      <c r="AA55" s="18">
        <f t="shared" si="39"/>
        <v>2315.272942521178</v>
      </c>
      <c r="AB55" s="18">
        <f t="shared" si="39"/>
        <v>1458.6219537883421</v>
      </c>
      <c r="AC55" s="6">
        <f t="shared" si="43"/>
        <v>3601.719435499804</v>
      </c>
      <c r="AD55" s="6">
        <f t="shared" si="43"/>
        <v>2226.517469218061</v>
      </c>
      <c r="AE55" s="6">
        <f t="shared" si="43"/>
        <v>2373.860537033962</v>
      </c>
      <c r="AF55" s="6">
        <f t="shared" si="28"/>
        <v>1495.532138331396</v>
      </c>
      <c r="AG55" s="18">
        <f t="shared" si="28"/>
        <v>3357.145766655708</v>
      </c>
      <c r="AH55" s="18">
        <f t="shared" si="28"/>
        <v>2115.001832993096</v>
      </c>
      <c r="AI55" s="6">
        <f t="shared" si="29"/>
        <v>4911.435593863369</v>
      </c>
      <c r="AJ55" s="6">
        <f t="shared" si="29"/>
        <v>3045.090068195289</v>
      </c>
      <c r="AK55" s="6">
        <f t="shared" si="25"/>
        <v>4092.862994886141</v>
      </c>
      <c r="AL55" s="6">
        <f t="shared" si="25"/>
        <v>1918.406742963032</v>
      </c>
      <c r="AM55" s="18">
        <f t="shared" si="25"/>
        <v>5788.182356302945</v>
      </c>
      <c r="AN55" s="18">
        <f t="shared" si="25"/>
        <v>2713.036834046316</v>
      </c>
      <c r="AO55" s="6">
        <f t="shared" si="40"/>
        <v>8185.725989772282</v>
      </c>
      <c r="AP55" s="6">
        <f t="shared" si="40"/>
        <v>5075.150113658815</v>
      </c>
      <c r="AQ55" s="6">
        <f t="shared" si="27"/>
        <v>8185.725989772282</v>
      </c>
      <c r="AR55" s="6">
        <f t="shared" si="27"/>
        <v>5157.0073735565375</v>
      </c>
      <c r="AS55" s="18">
        <f t="shared" si="27"/>
        <v>11576.36471260589</v>
      </c>
      <c r="AT55" s="18">
        <f t="shared" si="27"/>
        <v>7293.10976894171</v>
      </c>
      <c r="AU55" s="6">
        <f t="shared" si="44"/>
        <v>16371.451979544565</v>
      </c>
      <c r="AV55" s="6">
        <f t="shared" si="44"/>
        <v>10150.30022731763</v>
      </c>
    </row>
    <row r="56" spans="1:48" ht="15">
      <c r="A56" s="3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15">
      <c r="A57" s="28" t="s">
        <v>87</v>
      </c>
      <c r="B57" s="29"/>
      <c r="C57" s="29"/>
      <c r="D57" s="29"/>
      <c r="E57" s="29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</sheetData>
  <sheetProtection password="CA83" sheet="1" objects="1" scenarios="1"/>
  <mergeCells count="3">
    <mergeCell ref="A2:B2"/>
    <mergeCell ref="A3:B3"/>
    <mergeCell ref="A57:E57"/>
  </mergeCells>
  <printOptions/>
  <pageMargins left="0.75" right="0.25" top="0.5" bottom="0.25" header="0.5" footer="0.5"/>
  <pageSetup fitToHeight="1" fitToWidth="1" horizontalDpi="600" verticalDpi="600" orientation="landscape" scale="1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P65"/>
  <sheetViews>
    <sheetView defaultGridColor="0" zoomScale="98" zoomScaleNormal="98" colorId="42" workbookViewId="0" topLeftCell="A1">
      <pane xSplit="3" ySplit="4" topLeftCell="D3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8" sqref="D38"/>
    </sheetView>
  </sheetViews>
  <sheetFormatPr defaultColWidth="9.77734375" defaultRowHeight="15"/>
  <cols>
    <col min="1" max="1" width="13.77734375" style="0" customWidth="1"/>
    <col min="2" max="2" width="7.21484375" style="0" customWidth="1"/>
    <col min="12" max="30" width="9.77734375" style="0" customWidth="1"/>
    <col min="31" max="31" width="10.77734375" style="0" customWidth="1"/>
    <col min="32" max="33" width="9.77734375" style="0" customWidth="1"/>
    <col min="34" max="35" width="10.77734375" style="0" customWidth="1"/>
  </cols>
  <sheetData>
    <row r="1" ht="15">
      <c r="D1" s="22" t="s">
        <v>88</v>
      </c>
    </row>
    <row r="2" ht="15">
      <c r="D2" s="22" t="s">
        <v>98</v>
      </c>
    </row>
    <row r="3" spans="1:41" ht="38.25">
      <c r="A3" s="11" t="s">
        <v>0</v>
      </c>
      <c r="B3" s="11"/>
      <c r="C3" s="2" t="s">
        <v>1</v>
      </c>
      <c r="D3" s="1" t="s">
        <v>59</v>
      </c>
      <c r="E3" s="1" t="s">
        <v>59</v>
      </c>
      <c r="F3" s="1" t="s">
        <v>97</v>
      </c>
      <c r="G3" s="1" t="s">
        <v>97</v>
      </c>
      <c r="H3" s="1" t="s">
        <v>60</v>
      </c>
      <c r="I3" s="1" t="s">
        <v>60</v>
      </c>
      <c r="J3" s="1" t="s">
        <v>60</v>
      </c>
      <c r="K3" s="1" t="s">
        <v>60</v>
      </c>
      <c r="L3" s="1">
        <v>750</v>
      </c>
      <c r="M3" s="1" t="s">
        <v>61</v>
      </c>
      <c r="N3" s="1" t="s">
        <v>62</v>
      </c>
      <c r="O3" s="1" t="s">
        <v>62</v>
      </c>
      <c r="P3" s="1" t="s">
        <v>63</v>
      </c>
      <c r="Q3" s="12" t="s">
        <v>64</v>
      </c>
      <c r="R3" s="12" t="s">
        <v>65</v>
      </c>
      <c r="S3" s="1" t="s">
        <v>63</v>
      </c>
      <c r="T3" s="1" t="s">
        <v>63</v>
      </c>
      <c r="U3" s="1" t="s">
        <v>66</v>
      </c>
      <c r="V3" s="12" t="s">
        <v>64</v>
      </c>
      <c r="W3" s="12" t="s">
        <v>65</v>
      </c>
      <c r="X3" s="1" t="s">
        <v>66</v>
      </c>
      <c r="Y3" s="1" t="s">
        <v>66</v>
      </c>
      <c r="Z3" s="1" t="s">
        <v>67</v>
      </c>
      <c r="AA3" s="12" t="s">
        <v>64</v>
      </c>
      <c r="AB3" s="12" t="s">
        <v>65</v>
      </c>
      <c r="AC3" s="1" t="s">
        <v>67</v>
      </c>
      <c r="AD3" s="1" t="s">
        <v>67</v>
      </c>
      <c r="AE3" s="1" t="s">
        <v>68</v>
      </c>
      <c r="AF3" s="12" t="s">
        <v>64</v>
      </c>
      <c r="AG3" s="12" t="s">
        <v>65</v>
      </c>
      <c r="AH3" s="1" t="s">
        <v>68</v>
      </c>
      <c r="AI3" s="1" t="s">
        <v>68</v>
      </c>
      <c r="AJ3" s="3"/>
      <c r="AK3" s="20" t="s">
        <v>69</v>
      </c>
      <c r="AL3" s="3"/>
      <c r="AM3" s="3"/>
      <c r="AN3" s="3"/>
      <c r="AO3" s="3"/>
    </row>
    <row r="4" spans="1:41" ht="38.25">
      <c r="A4" s="3" t="s">
        <v>70</v>
      </c>
      <c r="B4" s="1" t="s">
        <v>71</v>
      </c>
      <c r="C4" s="3"/>
      <c r="D4" s="2" t="s">
        <v>89</v>
      </c>
      <c r="E4" s="4" t="s">
        <v>90</v>
      </c>
      <c r="F4" s="2" t="s">
        <v>89</v>
      </c>
      <c r="G4" s="4" t="s">
        <v>90</v>
      </c>
      <c r="H4" s="2" t="str">
        <f>D4</f>
        <v>½" wc diff Natural Gas Nm3/h</v>
      </c>
      <c r="I4" s="4" t="str">
        <f>E4</f>
        <v>½" wc diff Propane Nm3/h</v>
      </c>
      <c r="J4" s="2" t="s">
        <v>91</v>
      </c>
      <c r="K4" s="4" t="s">
        <v>92</v>
      </c>
      <c r="L4" s="2" t="str">
        <f>J4</f>
        <v>2" wc diff Natural Gas Nm3/h</v>
      </c>
      <c r="M4" s="4" t="str">
        <f>K4</f>
        <v>2" wc diff Propane Nm3/h</v>
      </c>
      <c r="N4" s="2" t="str">
        <f>L4</f>
        <v>2" wc diff Natural Gas Nm3/h</v>
      </c>
      <c r="O4" s="4" t="str">
        <f>M4</f>
        <v>2" wc diff Propane Nm3/h</v>
      </c>
      <c r="P4" s="2" t="str">
        <f>H4</f>
        <v>½" wc diff Natural Gas Nm3/h</v>
      </c>
      <c r="Q4" s="13" t="s">
        <v>93</v>
      </c>
      <c r="R4" s="13" t="s">
        <v>93</v>
      </c>
      <c r="S4" s="2" t="str">
        <f>L4</f>
        <v>2" wc diff Natural Gas Nm3/h</v>
      </c>
      <c r="T4" s="4" t="str">
        <f>M4</f>
        <v>2" wc diff Propane Nm3/h</v>
      </c>
      <c r="U4" s="2" t="str">
        <f>H4</f>
        <v>½" wc diff Natural Gas Nm3/h</v>
      </c>
      <c r="V4" s="13" t="s">
        <v>93</v>
      </c>
      <c r="W4" s="13" t="s">
        <v>93</v>
      </c>
      <c r="X4" s="2" t="str">
        <f>L4</f>
        <v>2" wc diff Natural Gas Nm3/h</v>
      </c>
      <c r="Y4" s="4" t="str">
        <f>M4</f>
        <v>2" wc diff Propane Nm3/h</v>
      </c>
      <c r="Z4" s="2" t="str">
        <f>H4</f>
        <v>½" wc diff Natural Gas Nm3/h</v>
      </c>
      <c r="AA4" s="13" t="s">
        <v>93</v>
      </c>
      <c r="AB4" s="13" t="s">
        <v>93</v>
      </c>
      <c r="AC4" s="2" t="str">
        <f>L4</f>
        <v>2" wc diff Natural Gas Nm3/h</v>
      </c>
      <c r="AD4" s="4" t="str">
        <f>M4</f>
        <v>2" wc diff Propane Nm3/h</v>
      </c>
      <c r="AE4" s="2" t="str">
        <f>H4</f>
        <v>½" wc diff Natural Gas Nm3/h</v>
      </c>
      <c r="AF4" s="13" t="s">
        <v>93</v>
      </c>
      <c r="AG4" s="13" t="s">
        <v>93</v>
      </c>
      <c r="AH4" s="2" t="str">
        <f>L4</f>
        <v>2" wc diff Natural Gas Nm3/h</v>
      </c>
      <c r="AI4" s="4" t="str">
        <f>M4</f>
        <v>2" wc diff Propane Nm3/h</v>
      </c>
      <c r="AJ4" s="3"/>
      <c r="AK4" s="20">
        <v>35.31</v>
      </c>
      <c r="AL4" s="3"/>
      <c r="AM4" s="3"/>
      <c r="AN4" s="3"/>
      <c r="AO4" s="3"/>
    </row>
    <row r="5" spans="1:42" ht="15">
      <c r="A5" s="3" t="s">
        <v>72</v>
      </c>
      <c r="B5" s="14">
        <f>(0.16)*6.94</f>
        <v>1.1104</v>
      </c>
      <c r="C5" s="5">
        <f>SQRT((0.16+14.48)/14.73)</f>
        <v>0.9969403293911822</v>
      </c>
      <c r="D5" s="6">
        <f>$C5*275/$AK$4</f>
        <v>7.7643327834204205</v>
      </c>
      <c r="E5" s="6">
        <f>$C5*E$6</f>
        <v>4.940939043994813</v>
      </c>
      <c r="F5" s="6">
        <f>$C5*315/$AK$4</f>
        <v>8.893690279190665</v>
      </c>
      <c r="G5" s="6">
        <f>$C5*G$6</f>
        <v>5.646787478851216</v>
      </c>
      <c r="H5" s="6">
        <f>$C5*415/$AK$4</f>
        <v>11.717084018616273</v>
      </c>
      <c r="I5" s="6">
        <f aca="true" t="shared" si="0" ref="I5:Q5">$C5*I$6</f>
        <v>7.34082372250658</v>
      </c>
      <c r="J5" s="6">
        <f t="shared" si="0"/>
        <v>25.41054365483047</v>
      </c>
      <c r="K5" s="6">
        <f t="shared" si="0"/>
        <v>14.68164744501316</v>
      </c>
      <c r="L5" s="6">
        <f t="shared" si="0"/>
        <v>45.17429983080973</v>
      </c>
      <c r="M5" s="6">
        <f t="shared" si="0"/>
        <v>27.95159802031352</v>
      </c>
      <c r="N5" s="6">
        <f t="shared" si="0"/>
        <v>45.17429983080973</v>
      </c>
      <c r="O5" s="6">
        <f t="shared" si="0"/>
        <v>27.95159802031352</v>
      </c>
      <c r="P5" s="6">
        <f t="shared" si="0"/>
        <v>28.233937394256078</v>
      </c>
      <c r="Q5" s="15">
        <f t="shared" si="0"/>
        <v>0.24923508234779554</v>
      </c>
      <c r="R5" s="15">
        <f aca="true" t="shared" si="1" ref="R5:R36">$P5/1000</f>
        <v>0.028233937394256076</v>
      </c>
      <c r="S5" s="6">
        <f>$C5*S$6</f>
        <v>62.11466226736337</v>
      </c>
      <c r="T5" s="6">
        <f>$C5*T$6</f>
        <v>38.39815485618826</v>
      </c>
      <c r="U5" s="6">
        <f>$C5*U$6</f>
        <v>40.81394872646752</v>
      </c>
      <c r="V5" s="15">
        <f>$C5*V$6</f>
        <v>0.39877613175647286</v>
      </c>
      <c r="W5" s="15">
        <f aca="true" t="shared" si="2" ref="W5:W36">$U5/1000</f>
        <v>0.04081394872646752</v>
      </c>
      <c r="X5" s="6">
        <f>$C5*X$6</f>
        <v>84.70181218276822</v>
      </c>
      <c r="Y5" s="6">
        <f>$C5*Y$6</f>
        <v>52.51512355331631</v>
      </c>
      <c r="Z5" s="6">
        <f>$C5*Z$6</f>
        <v>70.58484348564019</v>
      </c>
      <c r="AA5" s="15">
        <f>$C5*AA$6</f>
        <v>0.6480112141042684</v>
      </c>
      <c r="AB5" s="15">
        <f aca="true" t="shared" si="3" ref="AB5:AB36">$Z5/1000</f>
        <v>0.07058484348564019</v>
      </c>
      <c r="AC5" s="16">
        <f>5000*$C$5/$AK$4</f>
        <v>141.16968697128038</v>
      </c>
      <c r="AD5" s="6">
        <f>$C5*AD$6</f>
        <v>87.52520592219383</v>
      </c>
      <c r="AE5" s="6">
        <f>$C5*AE$6</f>
        <v>141.16968697128038</v>
      </c>
      <c r="AF5" s="15">
        <f>$C5*AF$6</f>
        <v>0.9969403293911822</v>
      </c>
      <c r="AG5" s="15">
        <f aca="true" t="shared" si="4" ref="AG5:AG36">$AE5/1000</f>
        <v>0.14116968697128038</v>
      </c>
      <c r="AH5" s="16">
        <f>10000*$C$5/$AK$4</f>
        <v>282.33937394256077</v>
      </c>
      <c r="AI5" s="6">
        <f>$C5*AI$6</f>
        <v>175.05041184438767</v>
      </c>
      <c r="AJ5" s="3"/>
      <c r="AK5" s="3"/>
      <c r="AL5" s="3"/>
      <c r="AM5" s="3"/>
      <c r="AN5" s="3"/>
      <c r="AO5" s="3"/>
      <c r="AP5" s="3"/>
    </row>
    <row r="6" spans="1:42" ht="15">
      <c r="A6" s="3" t="s">
        <v>9</v>
      </c>
      <c r="B6" s="14">
        <f>(7/28)*6.94</f>
        <v>1.735</v>
      </c>
      <c r="C6" s="5">
        <f>SQRT((7/28+14.48)/14.73)</f>
        <v>1</v>
      </c>
      <c r="D6" s="6">
        <f>275/$AK$4</f>
        <v>7.78816199376947</v>
      </c>
      <c r="E6" s="6">
        <f>175/$AK$4</f>
        <v>4.956103086944208</v>
      </c>
      <c r="F6" s="6">
        <f>315/$AK$4</f>
        <v>8.920985556499575</v>
      </c>
      <c r="G6" s="6">
        <f>(200)/$AK$4</f>
        <v>5.664117813650524</v>
      </c>
      <c r="H6" s="6">
        <f>415/$AK$4</f>
        <v>11.753044463324837</v>
      </c>
      <c r="I6" s="6">
        <f>260/$AK$4</f>
        <v>7.3633531577456806</v>
      </c>
      <c r="J6" s="6">
        <f>900/$AK$4</f>
        <v>25.488530161427356</v>
      </c>
      <c r="K6" s="6">
        <f>520/$AK$4</f>
        <v>14.726706315491361</v>
      </c>
      <c r="L6" s="6">
        <f>1600/$AK$4</f>
        <v>45.31294250920419</v>
      </c>
      <c r="M6" s="6">
        <f>990/$AK$4</f>
        <v>28.037383177570092</v>
      </c>
      <c r="N6" s="6">
        <f>1600/$AK$4</f>
        <v>45.31294250920419</v>
      </c>
      <c r="O6" s="6">
        <f>990/$AK$4</f>
        <v>28.037383177570092</v>
      </c>
      <c r="P6" s="6">
        <f>1000/$AK$4</f>
        <v>28.32058906825262</v>
      </c>
      <c r="Q6" s="15">
        <v>0.25</v>
      </c>
      <c r="R6" s="15">
        <f t="shared" si="1"/>
        <v>0.02832058906825262</v>
      </c>
      <c r="S6" s="6">
        <f>2200/$AK$4</f>
        <v>62.30529595015576</v>
      </c>
      <c r="T6" s="6">
        <f>1360/$AK$4</f>
        <v>38.51600113282356</v>
      </c>
      <c r="U6" s="16">
        <f>1450*$C$5/$AK$4</f>
        <v>40.93920922167131</v>
      </c>
      <c r="V6" s="15">
        <v>0.4</v>
      </c>
      <c r="W6" s="15">
        <f t="shared" si="2"/>
        <v>0.04093920922167131</v>
      </c>
      <c r="X6" s="6">
        <f>3000/$AK$4</f>
        <v>84.96176720475785</v>
      </c>
      <c r="Y6" s="6">
        <f>1860/$AK$4</f>
        <v>52.67629566694987</v>
      </c>
      <c r="Z6" s="16">
        <f>2500/$AK$4</f>
        <v>70.80147267063154</v>
      </c>
      <c r="AA6" s="15">
        <v>0.65</v>
      </c>
      <c r="AB6" s="15">
        <f t="shared" si="3"/>
        <v>0.07080147267063154</v>
      </c>
      <c r="AC6" s="6">
        <f>5000/$AK$4</f>
        <v>141.60294534126308</v>
      </c>
      <c r="AD6" s="6">
        <f>3100/$AK$4</f>
        <v>87.79382611158312</v>
      </c>
      <c r="AE6" s="16">
        <f>5000/$AK$4</f>
        <v>141.60294534126308</v>
      </c>
      <c r="AF6" s="15">
        <v>1</v>
      </c>
      <c r="AG6" s="15">
        <f t="shared" si="4"/>
        <v>0.14160294534126308</v>
      </c>
      <c r="AH6" s="6">
        <f>10000/$AK$4</f>
        <v>283.20589068252616</v>
      </c>
      <c r="AI6" s="6">
        <f>6200/$AK$4</f>
        <v>175.58765222316623</v>
      </c>
      <c r="AJ6" s="3"/>
      <c r="AK6" s="3"/>
      <c r="AL6" s="3"/>
      <c r="AM6" s="3"/>
      <c r="AN6" s="3"/>
      <c r="AO6" s="3"/>
      <c r="AP6" s="3"/>
    </row>
    <row r="7" spans="1:42" ht="15">
      <c r="A7" s="3" t="s">
        <v>10</v>
      </c>
      <c r="B7" s="14">
        <f>(8/28)*6.94</f>
        <v>1.9828571428571429</v>
      </c>
      <c r="C7" s="5">
        <f>SQRT((8/28+14.48)/14.73)</f>
        <v>1.0012115636031276</v>
      </c>
      <c r="D7" s="6">
        <f aca="true" t="shared" si="5" ref="D7:D49">$C7*275/$AK$4</f>
        <v>7.797597847376382</v>
      </c>
      <c r="E7" s="6">
        <f>$C7*E$6</f>
        <v>4.962107721057698</v>
      </c>
      <c r="F7" s="6">
        <f>$C7*315/$AK$4</f>
        <v>8.931793897903857</v>
      </c>
      <c r="G7" s="6">
        <f aca="true" t="shared" si="6" ref="G7:Q7">$C7*G$6</f>
        <v>5.67098025263737</v>
      </c>
      <c r="H7" s="6">
        <f t="shared" si="6"/>
        <v>11.767284024222542</v>
      </c>
      <c r="I7" s="6">
        <f t="shared" si="6"/>
        <v>7.372274328428579</v>
      </c>
      <c r="J7" s="6">
        <f t="shared" si="6"/>
        <v>25.51941113686816</v>
      </c>
      <c r="K7" s="6">
        <f t="shared" si="6"/>
        <v>14.744548656857159</v>
      </c>
      <c r="L7" s="6">
        <f t="shared" si="6"/>
        <v>45.36784202109896</v>
      </c>
      <c r="M7" s="6">
        <f t="shared" si="6"/>
        <v>28.071352250554977</v>
      </c>
      <c r="N7" s="6">
        <f t="shared" si="6"/>
        <v>45.36784202109896</v>
      </c>
      <c r="O7" s="6">
        <f t="shared" si="6"/>
        <v>28.071352250554977</v>
      </c>
      <c r="P7" s="6">
        <f t="shared" si="6"/>
        <v>28.354901263186846</v>
      </c>
      <c r="Q7" s="15">
        <f t="shared" si="6"/>
        <v>0.2503028909007819</v>
      </c>
      <c r="R7" s="15">
        <f t="shared" si="1"/>
        <v>0.028354901263186846</v>
      </c>
      <c r="S7" s="6">
        <f aca="true" t="shared" si="7" ref="S7:V26">$C7*S$6</f>
        <v>62.380782779011064</v>
      </c>
      <c r="T7" s="6">
        <f t="shared" si="7"/>
        <v>38.56266571793411</v>
      </c>
      <c r="U7" s="6">
        <f t="shared" si="7"/>
        <v>40.98880967750512</v>
      </c>
      <c r="V7" s="15">
        <f t="shared" si="7"/>
        <v>0.4004846254412511</v>
      </c>
      <c r="W7" s="15">
        <f t="shared" si="2"/>
        <v>0.040988809677505116</v>
      </c>
      <c r="X7" s="6">
        <f aca="true" t="shared" si="8" ref="X7:AA26">$C7*X$6</f>
        <v>85.06470378956053</v>
      </c>
      <c r="Y7" s="6">
        <f t="shared" si="8"/>
        <v>52.74011634952753</v>
      </c>
      <c r="Z7" s="6">
        <f t="shared" si="8"/>
        <v>70.88725315796711</v>
      </c>
      <c r="AA7" s="15">
        <f t="shared" si="8"/>
        <v>0.6507875163420329</v>
      </c>
      <c r="AB7" s="15">
        <f t="shared" si="3"/>
        <v>0.07088725315796711</v>
      </c>
      <c r="AC7" s="6">
        <f aca="true" t="shared" si="9" ref="AC7:AF26">$C7*AC$6</f>
        <v>141.77450631593422</v>
      </c>
      <c r="AD7" s="6">
        <f t="shared" si="9"/>
        <v>87.90019391587921</v>
      </c>
      <c r="AE7" s="6">
        <f t="shared" si="9"/>
        <v>141.77450631593422</v>
      </c>
      <c r="AF7" s="15">
        <f t="shared" si="9"/>
        <v>1.0012115636031276</v>
      </c>
      <c r="AG7" s="15">
        <f t="shared" si="4"/>
        <v>0.14177450631593422</v>
      </c>
      <c r="AH7" s="6">
        <f aca="true" t="shared" si="10" ref="AH7:AI26">$C7*AH$6</f>
        <v>283.54901263186844</v>
      </c>
      <c r="AI7" s="6">
        <f t="shared" si="10"/>
        <v>175.80038783175843</v>
      </c>
      <c r="AJ7" s="3"/>
      <c r="AK7" s="3"/>
      <c r="AL7" s="3"/>
      <c r="AM7" s="3"/>
      <c r="AN7" s="3"/>
      <c r="AO7" s="3"/>
      <c r="AP7" s="3"/>
    </row>
    <row r="8" spans="1:42" ht="15">
      <c r="A8" s="3" t="s">
        <v>11</v>
      </c>
      <c r="B8" s="14">
        <f>(9/28)*6.94</f>
        <v>2.230714285714286</v>
      </c>
      <c r="C8" s="5">
        <f>SQRT((9/28+14.48)/14.73)</f>
        <v>1.0024216628670986</v>
      </c>
      <c r="D8" s="6">
        <f t="shared" si="5"/>
        <v>7.807022296472729</v>
      </c>
      <c r="E8" s="6">
        <f aca="true" t="shared" si="11" ref="E8:I27">$C8*E$6</f>
        <v>4.968105097755373</v>
      </c>
      <c r="F8" s="6">
        <f aca="true" t="shared" si="12" ref="F8:F49">$C8*315/$AK$4</f>
        <v>8.942589175959672</v>
      </c>
      <c r="G8" s="6">
        <f aca="true" t="shared" si="13" ref="G8:G22">$C8*G$6</f>
        <v>5.6778343974347125</v>
      </c>
      <c r="H8" s="6">
        <f t="shared" si="11"/>
        <v>11.78150637467703</v>
      </c>
      <c r="I8" s="6">
        <f t="shared" si="11"/>
        <v>7.3811847166651265</v>
      </c>
      <c r="J8" s="6">
        <f aca="true" t="shared" si="14" ref="J8:J39">$C8*$J$6</f>
        <v>25.550254788456204</v>
      </c>
      <c r="K8" s="6">
        <f aca="true" t="shared" si="15" ref="K8:Q17">$C8*K$6</f>
        <v>14.762369433330253</v>
      </c>
      <c r="L8" s="6">
        <f t="shared" si="15"/>
        <v>45.4226751794777</v>
      </c>
      <c r="M8" s="6">
        <f t="shared" si="15"/>
        <v>28.105280267301826</v>
      </c>
      <c r="N8" s="6">
        <f t="shared" si="15"/>
        <v>45.4226751794777</v>
      </c>
      <c r="O8" s="6">
        <f t="shared" si="15"/>
        <v>28.105280267301826</v>
      </c>
      <c r="P8" s="6">
        <f t="shared" si="15"/>
        <v>28.389171987173565</v>
      </c>
      <c r="Q8" s="15">
        <f t="shared" si="15"/>
        <v>0.25060541571677464</v>
      </c>
      <c r="R8" s="15">
        <f t="shared" si="1"/>
        <v>0.028389171987173566</v>
      </c>
      <c r="S8" s="6">
        <f t="shared" si="7"/>
        <v>62.45617837178184</v>
      </c>
      <c r="T8" s="6">
        <f t="shared" si="7"/>
        <v>38.60927390255605</v>
      </c>
      <c r="U8" s="6">
        <f t="shared" si="7"/>
        <v>41.038350184451815</v>
      </c>
      <c r="V8" s="15">
        <f t="shared" si="7"/>
        <v>0.40096866514683943</v>
      </c>
      <c r="W8" s="15">
        <f t="shared" si="2"/>
        <v>0.041038350184451816</v>
      </c>
      <c r="X8" s="6">
        <f t="shared" si="8"/>
        <v>85.16751596152068</v>
      </c>
      <c r="Y8" s="6">
        <f t="shared" si="8"/>
        <v>52.803859896142825</v>
      </c>
      <c r="Z8" s="6">
        <f t="shared" si="8"/>
        <v>70.97292996793391</v>
      </c>
      <c r="AA8" s="15">
        <f t="shared" si="8"/>
        <v>0.6515740808636141</v>
      </c>
      <c r="AB8" s="15">
        <f t="shared" si="3"/>
        <v>0.0709729299679339</v>
      </c>
      <c r="AC8" s="6">
        <f t="shared" si="9"/>
        <v>141.94585993586782</v>
      </c>
      <c r="AD8" s="6">
        <f t="shared" si="9"/>
        <v>88.00643316023805</v>
      </c>
      <c r="AE8" s="6">
        <f t="shared" si="9"/>
        <v>141.94585993586782</v>
      </c>
      <c r="AF8" s="15">
        <f t="shared" si="9"/>
        <v>1.0024216628670986</v>
      </c>
      <c r="AG8" s="15">
        <f t="shared" si="4"/>
        <v>0.1419458599358678</v>
      </c>
      <c r="AH8" s="6">
        <f t="shared" si="10"/>
        <v>283.89171987173563</v>
      </c>
      <c r="AI8" s="6">
        <f t="shared" si="10"/>
        <v>176.0128663204761</v>
      </c>
      <c r="AJ8" s="3"/>
      <c r="AK8" s="3"/>
      <c r="AL8" s="3"/>
      <c r="AM8" s="3"/>
      <c r="AN8" s="3"/>
      <c r="AO8" s="3"/>
      <c r="AP8" s="3"/>
    </row>
    <row r="9" spans="1:42" ht="15">
      <c r="A9" s="3" t="s">
        <v>12</v>
      </c>
      <c r="B9" s="14">
        <f>(10/28)*6.94</f>
        <v>2.4785714285714286</v>
      </c>
      <c r="C9" s="5">
        <f>SQRT((10/28+14.48)/14.73)</f>
        <v>1.0036303030886715</v>
      </c>
      <c r="D9" s="6">
        <f t="shared" si="5"/>
        <v>7.816435382310526</v>
      </c>
      <c r="E9" s="6">
        <f t="shared" si="11"/>
        <v>4.974095243288516</v>
      </c>
      <c r="F9" s="6">
        <f t="shared" si="12"/>
        <v>8.953371437919328</v>
      </c>
      <c r="G9" s="6">
        <f t="shared" si="13"/>
        <v>5.684680278044019</v>
      </c>
      <c r="H9" s="6">
        <f t="shared" si="11"/>
        <v>11.79571157694134</v>
      </c>
      <c r="I9" s="6">
        <f t="shared" si="11"/>
        <v>7.390084361457224</v>
      </c>
      <c r="J9" s="6">
        <f t="shared" si="14"/>
        <v>25.581061251198083</v>
      </c>
      <c r="K9" s="6">
        <f t="shared" si="15"/>
        <v>14.780168722914448</v>
      </c>
      <c r="L9" s="6">
        <f t="shared" si="15"/>
        <v>45.47744222435215</v>
      </c>
      <c r="M9" s="6">
        <f t="shared" si="15"/>
        <v>28.139167376317893</v>
      </c>
      <c r="N9" s="6">
        <f t="shared" si="15"/>
        <v>45.47744222435215</v>
      </c>
      <c r="O9" s="6">
        <f t="shared" si="15"/>
        <v>28.139167376317893</v>
      </c>
      <c r="P9" s="6">
        <f t="shared" si="15"/>
        <v>28.423401390220093</v>
      </c>
      <c r="Q9" s="15">
        <f t="shared" si="15"/>
        <v>0.2509075757721679</v>
      </c>
      <c r="R9" s="15">
        <f t="shared" si="1"/>
        <v>0.028423401390220093</v>
      </c>
      <c r="S9" s="6">
        <f t="shared" si="7"/>
        <v>62.531483058484206</v>
      </c>
      <c r="T9" s="6">
        <f t="shared" si="7"/>
        <v>38.655825890699326</v>
      </c>
      <c r="U9" s="6">
        <f t="shared" si="7"/>
        <v>41.087830959356516</v>
      </c>
      <c r="V9" s="15">
        <f t="shared" si="7"/>
        <v>0.40145212123546864</v>
      </c>
      <c r="W9" s="15">
        <f t="shared" si="2"/>
        <v>0.04108783095935652</v>
      </c>
      <c r="X9" s="6">
        <f t="shared" si="8"/>
        <v>85.27020417066026</v>
      </c>
      <c r="Y9" s="6">
        <f t="shared" si="8"/>
        <v>52.86752658580937</v>
      </c>
      <c r="Z9" s="6">
        <f t="shared" si="8"/>
        <v>71.05850347555022</v>
      </c>
      <c r="AA9" s="15">
        <f t="shared" si="8"/>
        <v>0.6523596970076365</v>
      </c>
      <c r="AB9" s="15">
        <f t="shared" si="3"/>
        <v>0.07105850347555022</v>
      </c>
      <c r="AC9" s="6">
        <f t="shared" si="9"/>
        <v>142.11700695110045</v>
      </c>
      <c r="AD9" s="6">
        <f t="shared" si="9"/>
        <v>88.11254430968229</v>
      </c>
      <c r="AE9" s="6">
        <f t="shared" si="9"/>
        <v>142.11700695110045</v>
      </c>
      <c r="AF9" s="15">
        <f t="shared" si="9"/>
        <v>1.0036303030886715</v>
      </c>
      <c r="AG9" s="15">
        <f t="shared" si="4"/>
        <v>0.14211700695110044</v>
      </c>
      <c r="AH9" s="6">
        <f t="shared" si="10"/>
        <v>284.2340139022009</v>
      </c>
      <c r="AI9" s="6">
        <f t="shared" si="10"/>
        <v>176.22508861936458</v>
      </c>
      <c r="AJ9" s="3"/>
      <c r="AK9" s="3"/>
      <c r="AL9" s="3"/>
      <c r="AM9" s="3"/>
      <c r="AN9" s="3"/>
      <c r="AO9" s="3"/>
      <c r="AP9" s="3"/>
    </row>
    <row r="10" spans="1:42" ht="15">
      <c r="A10" s="3" t="s">
        <v>13</v>
      </c>
      <c r="B10" s="14">
        <f>(11/28)*6.94</f>
        <v>2.7264285714285714</v>
      </c>
      <c r="C10" s="5">
        <f>SQRT((11/28+14.48)/14.73)</f>
        <v>1.0048374895327492</v>
      </c>
      <c r="D10" s="6">
        <f t="shared" si="5"/>
        <v>7.8258371458936855</v>
      </c>
      <c r="E10" s="6">
        <f t="shared" si="11"/>
        <v>4.980078183750527</v>
      </c>
      <c r="F10" s="6">
        <f t="shared" si="12"/>
        <v>8.964140730750948</v>
      </c>
      <c r="G10" s="6">
        <f t="shared" si="13"/>
        <v>5.691517924286317</v>
      </c>
      <c r="H10" s="6">
        <f t="shared" si="11"/>
        <v>11.809899692894106</v>
      </c>
      <c r="I10" s="6">
        <f t="shared" si="11"/>
        <v>7.3989733015722114</v>
      </c>
      <c r="J10" s="6">
        <f t="shared" si="14"/>
        <v>25.611830659288422</v>
      </c>
      <c r="K10" s="6">
        <f t="shared" si="15"/>
        <v>14.797946603144423</v>
      </c>
      <c r="L10" s="6">
        <f t="shared" si="15"/>
        <v>45.532143394290536</v>
      </c>
      <c r="M10" s="6">
        <f t="shared" si="15"/>
        <v>28.173013725217267</v>
      </c>
      <c r="N10" s="6">
        <f t="shared" si="15"/>
        <v>45.532143394290536</v>
      </c>
      <c r="O10" s="6">
        <f t="shared" si="15"/>
        <v>28.173013725217267</v>
      </c>
      <c r="P10" s="6">
        <f t="shared" si="15"/>
        <v>28.457589621431584</v>
      </c>
      <c r="Q10" s="15">
        <f t="shared" si="15"/>
        <v>0.2512093723831873</v>
      </c>
      <c r="R10" s="15">
        <f t="shared" si="1"/>
        <v>0.028457589621431585</v>
      </c>
      <c r="S10" s="6">
        <f t="shared" si="7"/>
        <v>62.60669716714948</v>
      </c>
      <c r="T10" s="6">
        <f t="shared" si="7"/>
        <v>38.70232188514695</v>
      </c>
      <c r="U10" s="6">
        <f t="shared" si="7"/>
        <v>41.13725221776018</v>
      </c>
      <c r="V10" s="15">
        <f t="shared" si="7"/>
        <v>0.4019349958130997</v>
      </c>
      <c r="W10" s="15">
        <f t="shared" si="2"/>
        <v>0.04113725221776018</v>
      </c>
      <c r="X10" s="6">
        <f t="shared" si="8"/>
        <v>85.37276886429474</v>
      </c>
      <c r="Y10" s="6">
        <f t="shared" si="8"/>
        <v>52.93111669586274</v>
      </c>
      <c r="Z10" s="6">
        <f t="shared" si="8"/>
        <v>71.14397405357894</v>
      </c>
      <c r="AA10" s="15">
        <f t="shared" si="8"/>
        <v>0.653144368196287</v>
      </c>
      <c r="AB10" s="15">
        <f t="shared" si="3"/>
        <v>0.07114397405357895</v>
      </c>
      <c r="AC10" s="6">
        <f t="shared" si="9"/>
        <v>142.2879481071579</v>
      </c>
      <c r="AD10" s="6">
        <f t="shared" si="9"/>
        <v>88.2185278264379</v>
      </c>
      <c r="AE10" s="6">
        <f t="shared" si="9"/>
        <v>142.2879481071579</v>
      </c>
      <c r="AF10" s="15">
        <f t="shared" si="9"/>
        <v>1.0048374895327492</v>
      </c>
      <c r="AG10" s="15">
        <f t="shared" si="4"/>
        <v>0.1422879481071579</v>
      </c>
      <c r="AH10" s="6">
        <f t="shared" si="10"/>
        <v>284.5758962143158</v>
      </c>
      <c r="AI10" s="6">
        <f t="shared" si="10"/>
        <v>176.4370556528758</v>
      </c>
      <c r="AJ10" s="3"/>
      <c r="AK10" s="3"/>
      <c r="AL10" s="3"/>
      <c r="AM10" s="3"/>
      <c r="AN10" s="3"/>
      <c r="AO10" s="3"/>
      <c r="AP10" s="3"/>
    </row>
    <row r="11" spans="1:42" ht="15">
      <c r="A11" s="3" t="s">
        <v>14</v>
      </c>
      <c r="B11" s="14">
        <f>(12/28)*6.94</f>
        <v>2.974285714285714</v>
      </c>
      <c r="C11" s="5">
        <f>SQRT((12/28+14.48)/14.73)</f>
        <v>1.0060432274326474</v>
      </c>
      <c r="D11" s="6">
        <f t="shared" si="5"/>
        <v>7.835227627980119</v>
      </c>
      <c r="E11" s="6">
        <f t="shared" si="11"/>
        <v>4.9860539450782575</v>
      </c>
      <c r="F11" s="6">
        <f t="shared" si="12"/>
        <v>8.974897101140863</v>
      </c>
      <c r="G11" s="6">
        <f t="shared" si="13"/>
        <v>5.698347365803723</v>
      </c>
      <c r="H11" s="6">
        <f t="shared" si="11"/>
        <v>11.824070784042727</v>
      </c>
      <c r="I11" s="6">
        <f t="shared" si="11"/>
        <v>7.40785157554484</v>
      </c>
      <c r="J11" s="6">
        <f t="shared" si="14"/>
        <v>25.642563146116753</v>
      </c>
      <c r="K11" s="6">
        <f t="shared" si="15"/>
        <v>14.81570315108968</v>
      </c>
      <c r="L11" s="6">
        <f t="shared" si="15"/>
        <v>45.58677892642979</v>
      </c>
      <c r="M11" s="6">
        <f t="shared" si="15"/>
        <v>28.20681946072843</v>
      </c>
      <c r="N11" s="6">
        <f t="shared" si="15"/>
        <v>45.58677892642979</v>
      </c>
      <c r="O11" s="6">
        <f t="shared" si="15"/>
        <v>28.20681946072843</v>
      </c>
      <c r="P11" s="6">
        <f t="shared" si="15"/>
        <v>28.491736829018617</v>
      </c>
      <c r="Q11" s="15">
        <f t="shared" si="15"/>
        <v>0.25151080685816185</v>
      </c>
      <c r="R11" s="15">
        <f t="shared" si="1"/>
        <v>0.028491736829018618</v>
      </c>
      <c r="S11" s="6">
        <f t="shared" si="7"/>
        <v>62.68182102384095</v>
      </c>
      <c r="T11" s="6">
        <f t="shared" si="7"/>
        <v>38.748762087465316</v>
      </c>
      <c r="U11" s="6">
        <f t="shared" si="7"/>
        <v>41.186614173910606</v>
      </c>
      <c r="V11" s="15">
        <f t="shared" si="7"/>
        <v>0.402417290973059</v>
      </c>
      <c r="W11" s="15">
        <f t="shared" si="2"/>
        <v>0.041186614173910605</v>
      </c>
      <c r="X11" s="6">
        <f t="shared" si="8"/>
        <v>85.47521048705585</v>
      </c>
      <c r="Y11" s="6">
        <f t="shared" si="8"/>
        <v>52.994630501974626</v>
      </c>
      <c r="Z11" s="6">
        <f t="shared" si="8"/>
        <v>71.22934207254653</v>
      </c>
      <c r="AA11" s="15">
        <f t="shared" si="8"/>
        <v>0.6539280978312209</v>
      </c>
      <c r="AB11" s="15">
        <f t="shared" si="3"/>
        <v>0.07122934207254653</v>
      </c>
      <c r="AC11" s="6">
        <f t="shared" si="9"/>
        <v>142.45868414509306</v>
      </c>
      <c r="AD11" s="6">
        <f t="shared" si="9"/>
        <v>88.32438416995771</v>
      </c>
      <c r="AE11" s="6">
        <f t="shared" si="9"/>
        <v>142.45868414509306</v>
      </c>
      <c r="AF11" s="15">
        <f t="shared" si="9"/>
        <v>1.0060432274326474</v>
      </c>
      <c r="AG11" s="15">
        <f t="shared" si="4"/>
        <v>0.14245868414509305</v>
      </c>
      <c r="AH11" s="6">
        <f t="shared" si="10"/>
        <v>284.9173682901861</v>
      </c>
      <c r="AI11" s="6">
        <f t="shared" si="10"/>
        <v>176.64876833991542</v>
      </c>
      <c r="AJ11" s="3"/>
      <c r="AK11" s="3"/>
      <c r="AL11" s="3"/>
      <c r="AM11" s="3"/>
      <c r="AN11" s="3"/>
      <c r="AO11" s="3"/>
      <c r="AP11" s="3"/>
    </row>
    <row r="12" spans="1:42" ht="15">
      <c r="A12" s="3" t="s">
        <v>15</v>
      </c>
      <c r="B12" s="14">
        <f>(13/28)*6.94</f>
        <v>3.2221428571428574</v>
      </c>
      <c r="C12" s="5">
        <f>SQRT((13/28+14.48)/14.73)</f>
        <v>1.0072475219903583</v>
      </c>
      <c r="D12" s="6">
        <f t="shared" si="5"/>
        <v>7.844606869083786</v>
      </c>
      <c r="E12" s="6">
        <f t="shared" si="11"/>
        <v>4.992022553053318</v>
      </c>
      <c r="F12" s="6">
        <f t="shared" si="12"/>
        <v>8.985640595495973</v>
      </c>
      <c r="G12" s="6">
        <f t="shared" si="13"/>
        <v>5.7051686320609365</v>
      </c>
      <c r="H12" s="6">
        <f t="shared" si="11"/>
        <v>11.838224911526442</v>
      </c>
      <c r="I12" s="6">
        <f t="shared" si="11"/>
        <v>7.416719221679217</v>
      </c>
      <c r="J12" s="6">
        <f t="shared" si="14"/>
        <v>25.673258844274212</v>
      </c>
      <c r="K12" s="6">
        <f t="shared" si="15"/>
        <v>14.833438443358434</v>
      </c>
      <c r="L12" s="6">
        <f t="shared" si="15"/>
        <v>45.64134905648749</v>
      </c>
      <c r="M12" s="6">
        <f t="shared" si="15"/>
        <v>28.240584728701634</v>
      </c>
      <c r="N12" s="6">
        <f t="shared" si="15"/>
        <v>45.64134905648749</v>
      </c>
      <c r="O12" s="6">
        <f t="shared" si="15"/>
        <v>28.240584728701634</v>
      </c>
      <c r="P12" s="6">
        <f t="shared" si="15"/>
        <v>28.52584316030468</v>
      </c>
      <c r="Q12" s="15">
        <f t="shared" si="15"/>
        <v>0.25181188049758957</v>
      </c>
      <c r="R12" s="15">
        <f t="shared" si="1"/>
        <v>0.02852584316030468</v>
      </c>
      <c r="S12" s="6">
        <f t="shared" si="7"/>
        <v>62.756854952670295</v>
      </c>
      <c r="T12" s="6">
        <f t="shared" si="7"/>
        <v>38.79514669801436</v>
      </c>
      <c r="U12" s="6">
        <f t="shared" si="7"/>
        <v>41.23591704077325</v>
      </c>
      <c r="V12" s="15">
        <f t="shared" si="7"/>
        <v>0.4028990087961433</v>
      </c>
      <c r="W12" s="15">
        <f t="shared" si="2"/>
        <v>0.04123591704077325</v>
      </c>
      <c r="X12" s="6">
        <f t="shared" si="8"/>
        <v>85.57752948091404</v>
      </c>
      <c r="Y12" s="6">
        <f t="shared" si="8"/>
        <v>53.0580682781667</v>
      </c>
      <c r="Z12" s="6">
        <f t="shared" si="8"/>
        <v>71.31460790076169</v>
      </c>
      <c r="AA12" s="15">
        <f t="shared" si="8"/>
        <v>0.6547108892937329</v>
      </c>
      <c r="AB12" s="15">
        <f t="shared" si="3"/>
        <v>0.07131460790076169</v>
      </c>
      <c r="AC12" s="6">
        <f t="shared" si="9"/>
        <v>142.62921580152337</v>
      </c>
      <c r="AD12" s="6">
        <f t="shared" si="9"/>
        <v>88.43011379694451</v>
      </c>
      <c r="AE12" s="6">
        <f t="shared" si="9"/>
        <v>142.62921580152337</v>
      </c>
      <c r="AF12" s="15">
        <f t="shared" si="9"/>
        <v>1.0072475219903583</v>
      </c>
      <c r="AG12" s="15">
        <f t="shared" si="4"/>
        <v>0.14262921580152338</v>
      </c>
      <c r="AH12" s="6">
        <f t="shared" si="10"/>
        <v>285.25843160304674</v>
      </c>
      <c r="AI12" s="6">
        <f t="shared" si="10"/>
        <v>176.86022759388902</v>
      </c>
      <c r="AJ12" s="3"/>
      <c r="AK12" s="3"/>
      <c r="AL12" s="3"/>
      <c r="AM12" s="3"/>
      <c r="AN12" s="3"/>
      <c r="AO12" s="3"/>
      <c r="AP12" s="3"/>
    </row>
    <row r="13" spans="1:42" ht="15">
      <c r="A13" s="3" t="s">
        <v>16</v>
      </c>
      <c r="B13" s="14">
        <f>(14/28)*6.94</f>
        <v>3.47</v>
      </c>
      <c r="C13" s="5">
        <f>SQRT((14/28+14.48)/14.73)</f>
        <v>1.0084503783768128</v>
      </c>
      <c r="D13" s="6">
        <f t="shared" si="5"/>
        <v>7.853974909476734</v>
      </c>
      <c r="E13" s="6">
        <f t="shared" si="11"/>
        <v>4.997984033303377</v>
      </c>
      <c r="F13" s="6">
        <f t="shared" si="12"/>
        <v>8.996371259946077</v>
      </c>
      <c r="G13" s="6">
        <f t="shared" si="13"/>
        <v>5.711981752346717</v>
      </c>
      <c r="H13" s="6">
        <f t="shared" si="11"/>
        <v>11.852362136119437</v>
      </c>
      <c r="I13" s="6">
        <f t="shared" si="11"/>
        <v>7.425576278050731</v>
      </c>
      <c r="J13" s="6">
        <f t="shared" si="14"/>
        <v>25.703917885560223</v>
      </c>
      <c r="K13" s="6">
        <f t="shared" si="15"/>
        <v>14.851152556101463</v>
      </c>
      <c r="L13" s="6">
        <f t="shared" si="15"/>
        <v>45.69585401877374</v>
      </c>
      <c r="M13" s="6">
        <f t="shared" si="15"/>
        <v>28.274309674116246</v>
      </c>
      <c r="N13" s="6">
        <f t="shared" si="15"/>
        <v>45.69585401877374</v>
      </c>
      <c r="O13" s="6">
        <f t="shared" si="15"/>
        <v>28.274309674116246</v>
      </c>
      <c r="P13" s="6">
        <f t="shared" si="15"/>
        <v>28.559908761733585</v>
      </c>
      <c r="Q13" s="15">
        <f t="shared" si="15"/>
        <v>0.2521125945942032</v>
      </c>
      <c r="R13" s="15">
        <f t="shared" si="1"/>
        <v>0.028559908761733584</v>
      </c>
      <c r="S13" s="6">
        <f t="shared" si="7"/>
        <v>62.83179927581388</v>
      </c>
      <c r="T13" s="6">
        <f t="shared" si="7"/>
        <v>38.84147591595767</v>
      </c>
      <c r="U13" s="6">
        <f t="shared" si="7"/>
        <v>41.28516103004194</v>
      </c>
      <c r="V13" s="15">
        <f t="shared" si="7"/>
        <v>0.40338015135072514</v>
      </c>
      <c r="W13" s="15">
        <f t="shared" si="2"/>
        <v>0.04128516103004194</v>
      </c>
      <c r="X13" s="6">
        <f t="shared" si="8"/>
        <v>85.67972628520074</v>
      </c>
      <c r="Y13" s="6">
        <f t="shared" si="8"/>
        <v>53.121430296824464</v>
      </c>
      <c r="Z13" s="6">
        <f t="shared" si="8"/>
        <v>71.39977190433395</v>
      </c>
      <c r="AA13" s="15">
        <f t="shared" si="8"/>
        <v>0.6554927459449283</v>
      </c>
      <c r="AB13" s="15">
        <f t="shared" si="3"/>
        <v>0.07139977190433394</v>
      </c>
      <c r="AC13" s="6">
        <f t="shared" si="9"/>
        <v>142.7995438086679</v>
      </c>
      <c r="AD13" s="6">
        <f t="shared" si="9"/>
        <v>88.53571716137411</v>
      </c>
      <c r="AE13" s="6">
        <f t="shared" si="9"/>
        <v>142.7995438086679</v>
      </c>
      <c r="AF13" s="15">
        <f t="shared" si="9"/>
        <v>1.0084503783768128</v>
      </c>
      <c r="AG13" s="15">
        <f t="shared" si="4"/>
        <v>0.14279954380866788</v>
      </c>
      <c r="AH13" s="6">
        <f t="shared" si="10"/>
        <v>285.5990876173358</v>
      </c>
      <c r="AI13" s="6">
        <f t="shared" si="10"/>
        <v>177.07143432274822</v>
      </c>
      <c r="AJ13" s="3"/>
      <c r="AK13" s="3"/>
      <c r="AL13" s="3"/>
      <c r="AM13" s="3"/>
      <c r="AN13" s="3"/>
      <c r="AO13" s="3"/>
      <c r="AP13" s="3"/>
    </row>
    <row r="14" spans="1:42" ht="15">
      <c r="A14" s="3" t="s">
        <v>17</v>
      </c>
      <c r="B14" s="14">
        <f>(15/28)*6.94</f>
        <v>3.717857142857143</v>
      </c>
      <c r="C14" s="5">
        <f>SQRT((15/28+14.48)/14.73)</f>
        <v>1.0096518017321399</v>
      </c>
      <c r="D14" s="6">
        <f t="shared" si="5"/>
        <v>7.86333178919112</v>
      </c>
      <c r="E14" s="6">
        <f t="shared" si="11"/>
        <v>5.00393841130344</v>
      </c>
      <c r="F14" s="6">
        <f t="shared" si="12"/>
        <v>9.007089140346192</v>
      </c>
      <c r="G14" s="6">
        <f t="shared" si="13"/>
        <v>5.71878675577536</v>
      </c>
      <c r="H14" s="6">
        <f t="shared" si="11"/>
        <v>11.866482518233873</v>
      </c>
      <c r="I14" s="6">
        <f t="shared" si="11"/>
        <v>7.434422782507968</v>
      </c>
      <c r="J14" s="6">
        <f t="shared" si="14"/>
        <v>25.73454040098912</v>
      </c>
      <c r="K14" s="6">
        <f t="shared" si="15"/>
        <v>14.868845565015937</v>
      </c>
      <c r="L14" s="6">
        <f t="shared" si="15"/>
        <v>45.75029404620288</v>
      </c>
      <c r="M14" s="6">
        <f t="shared" si="15"/>
        <v>28.30799444108803</v>
      </c>
      <c r="N14" s="6">
        <f t="shared" si="15"/>
        <v>45.75029404620288</v>
      </c>
      <c r="O14" s="6">
        <f t="shared" si="15"/>
        <v>28.30799444108803</v>
      </c>
      <c r="P14" s="6">
        <f t="shared" si="15"/>
        <v>28.593933778876803</v>
      </c>
      <c r="Q14" s="15">
        <f t="shared" si="15"/>
        <v>0.25241295043303497</v>
      </c>
      <c r="R14" s="15">
        <f t="shared" si="1"/>
        <v>0.028593933778876802</v>
      </c>
      <c r="S14" s="6">
        <f t="shared" si="7"/>
        <v>62.90665431352896</v>
      </c>
      <c r="T14" s="6">
        <f t="shared" si="7"/>
        <v>38.887749939272446</v>
      </c>
      <c r="U14" s="6">
        <f t="shared" si="7"/>
        <v>41.334346352149474</v>
      </c>
      <c r="V14" s="15">
        <f t="shared" si="7"/>
        <v>0.40386072069285595</v>
      </c>
      <c r="W14" s="15">
        <f t="shared" si="2"/>
        <v>0.04133434635214948</v>
      </c>
      <c r="X14" s="6">
        <f t="shared" si="8"/>
        <v>85.7818013366304</v>
      </c>
      <c r="Y14" s="6">
        <f t="shared" si="8"/>
        <v>53.18471682871085</v>
      </c>
      <c r="Z14" s="6">
        <f t="shared" si="8"/>
        <v>71.484834447192</v>
      </c>
      <c r="AA14" s="15">
        <f t="shared" si="8"/>
        <v>0.656273671125891</v>
      </c>
      <c r="AB14" s="15">
        <f t="shared" si="3"/>
        <v>0.071484834447192</v>
      </c>
      <c r="AC14" s="6">
        <f t="shared" si="9"/>
        <v>142.969668894384</v>
      </c>
      <c r="AD14" s="6">
        <f t="shared" si="9"/>
        <v>88.64119471451808</v>
      </c>
      <c r="AE14" s="6">
        <f t="shared" si="9"/>
        <v>142.969668894384</v>
      </c>
      <c r="AF14" s="15">
        <f t="shared" si="9"/>
        <v>1.0096518017321399</v>
      </c>
      <c r="AG14" s="15">
        <f t="shared" si="4"/>
        <v>0.142969668894384</v>
      </c>
      <c r="AH14" s="6">
        <f t="shared" si="10"/>
        <v>285.939337788768</v>
      </c>
      <c r="AI14" s="6">
        <f t="shared" si="10"/>
        <v>177.28238942903616</v>
      </c>
      <c r="AJ14" s="3"/>
      <c r="AK14" s="3"/>
      <c r="AL14" s="3"/>
      <c r="AM14" s="3"/>
      <c r="AN14" s="3"/>
      <c r="AO14" s="3"/>
      <c r="AP14" s="3"/>
    </row>
    <row r="15" spans="1:42" ht="15">
      <c r="A15" s="3" t="s">
        <v>18</v>
      </c>
      <c r="B15" s="14">
        <f>(16/28)*6.94</f>
        <v>3.9657142857142857</v>
      </c>
      <c r="C15" s="5">
        <f>SQRT((16/28+14.48)/14.73)</f>
        <v>1.0108517971659228</v>
      </c>
      <c r="D15" s="6">
        <f t="shared" si="5"/>
        <v>7.872677548021204</v>
      </c>
      <c r="E15" s="6">
        <f t="shared" si="11"/>
        <v>5.00988571237713</v>
      </c>
      <c r="F15" s="6">
        <f t="shared" si="12"/>
        <v>9.017794282278835</v>
      </c>
      <c r="G15" s="6">
        <f t="shared" si="13"/>
        <v>5.725583671288149</v>
      </c>
      <c r="H15" s="6">
        <f t="shared" si="11"/>
        <v>11.88058611792291</v>
      </c>
      <c r="I15" s="6">
        <f t="shared" si="11"/>
        <v>7.443258772674594</v>
      </c>
      <c r="J15" s="6">
        <f t="shared" si="14"/>
        <v>25.76512652079667</v>
      </c>
      <c r="K15" s="6">
        <f t="shared" si="15"/>
        <v>14.886517545349188</v>
      </c>
      <c r="L15" s="6">
        <f t="shared" si="15"/>
        <v>45.80466937030519</v>
      </c>
      <c r="M15" s="6">
        <f t="shared" si="15"/>
        <v>28.341639172876338</v>
      </c>
      <c r="N15" s="6">
        <f t="shared" si="15"/>
        <v>45.80466937030519</v>
      </c>
      <c r="O15" s="6">
        <f t="shared" si="15"/>
        <v>28.341639172876338</v>
      </c>
      <c r="P15" s="6">
        <f t="shared" si="15"/>
        <v>28.62791835644075</v>
      </c>
      <c r="Q15" s="15">
        <f t="shared" si="15"/>
        <v>0.2527129492914807</v>
      </c>
      <c r="R15" s="15">
        <f t="shared" si="1"/>
        <v>0.028627918356440747</v>
      </c>
      <c r="S15" s="6">
        <f t="shared" si="7"/>
        <v>62.98142038416964</v>
      </c>
      <c r="T15" s="6">
        <f t="shared" si="7"/>
        <v>38.933968964759416</v>
      </c>
      <c r="U15" s="6">
        <f t="shared" si="7"/>
        <v>41.38347321627816</v>
      </c>
      <c r="V15" s="15">
        <f t="shared" si="7"/>
        <v>0.40434071886636913</v>
      </c>
      <c r="W15" s="15">
        <f t="shared" si="2"/>
        <v>0.04138347321627816</v>
      </c>
      <c r="X15" s="6">
        <f t="shared" si="8"/>
        <v>85.88375506932223</v>
      </c>
      <c r="Y15" s="6">
        <f t="shared" si="8"/>
        <v>53.24792814297979</v>
      </c>
      <c r="Z15" s="6">
        <f t="shared" si="8"/>
        <v>71.56979589110186</v>
      </c>
      <c r="AA15" s="15">
        <f t="shared" si="8"/>
        <v>0.6570536681578498</v>
      </c>
      <c r="AB15" s="15">
        <f t="shared" si="3"/>
        <v>0.07156979589110186</v>
      </c>
      <c r="AC15" s="6">
        <f t="shared" si="9"/>
        <v>143.13959178220372</v>
      </c>
      <c r="AD15" s="6">
        <f t="shared" si="9"/>
        <v>88.74654690496631</v>
      </c>
      <c r="AE15" s="6">
        <f t="shared" si="9"/>
        <v>143.13959178220372</v>
      </c>
      <c r="AF15" s="15">
        <f t="shared" si="9"/>
        <v>1.0108517971659228</v>
      </c>
      <c r="AG15" s="15">
        <f t="shared" si="4"/>
        <v>0.14313959178220373</v>
      </c>
      <c r="AH15" s="6">
        <f t="shared" si="10"/>
        <v>286.27918356440745</v>
      </c>
      <c r="AI15" s="6">
        <f t="shared" si="10"/>
        <v>177.49309380993262</v>
      </c>
      <c r="AJ15" s="3"/>
      <c r="AK15" s="3"/>
      <c r="AL15" s="3"/>
      <c r="AM15" s="3"/>
      <c r="AN15" s="3"/>
      <c r="AO15" s="3"/>
      <c r="AP15" s="3"/>
    </row>
    <row r="16" spans="1:42" ht="15">
      <c r="A16" s="3" t="s">
        <v>19</v>
      </c>
      <c r="B16" s="14">
        <f>(17/28)*6.94</f>
        <v>4.213571428571428</v>
      </c>
      <c r="C16" s="5">
        <f>SQRT((17/28+14.48)/14.73)</f>
        <v>1.012050369757452</v>
      </c>
      <c r="D16" s="6">
        <f t="shared" si="5"/>
        <v>7.882012225525328</v>
      </c>
      <c r="E16" s="6">
        <f t="shared" si="11"/>
        <v>5.015825961697936</v>
      </c>
      <c r="F16" s="6">
        <f t="shared" si="12"/>
        <v>9.028486731056285</v>
      </c>
      <c r="G16" s="6">
        <f t="shared" si="13"/>
        <v>5.732372527654784</v>
      </c>
      <c r="H16" s="6">
        <f t="shared" si="11"/>
        <v>11.894672994883678</v>
      </c>
      <c r="I16" s="6">
        <f t="shared" si="11"/>
        <v>7.452084285951218</v>
      </c>
      <c r="J16" s="6">
        <f t="shared" si="14"/>
        <v>25.795676374446526</v>
      </c>
      <c r="K16" s="6">
        <f t="shared" si="15"/>
        <v>14.904168571902437</v>
      </c>
      <c r="L16" s="6">
        <f t="shared" si="15"/>
        <v>45.85898022123827</v>
      </c>
      <c r="M16" s="6">
        <f t="shared" si="15"/>
        <v>28.37524401189118</v>
      </c>
      <c r="N16" s="6">
        <f t="shared" si="15"/>
        <v>45.85898022123827</v>
      </c>
      <c r="O16" s="6">
        <f t="shared" si="15"/>
        <v>28.37524401189118</v>
      </c>
      <c r="P16" s="6">
        <f t="shared" si="15"/>
        <v>28.66186263827392</v>
      </c>
      <c r="Q16" s="15">
        <f t="shared" si="15"/>
        <v>0.253012592439363</v>
      </c>
      <c r="R16" s="15">
        <f t="shared" si="1"/>
        <v>0.02866186263827392</v>
      </c>
      <c r="S16" s="6">
        <f t="shared" si="7"/>
        <v>63.05609780420262</v>
      </c>
      <c r="T16" s="6">
        <f t="shared" si="7"/>
        <v>38.98013318805253</v>
      </c>
      <c r="U16" s="6">
        <f t="shared" si="7"/>
        <v>41.43254183037015</v>
      </c>
      <c r="V16" s="15">
        <f t="shared" si="7"/>
        <v>0.4048201479029809</v>
      </c>
      <c r="W16" s="15">
        <f t="shared" si="2"/>
        <v>0.04143254183037015</v>
      </c>
      <c r="X16" s="6">
        <f t="shared" si="8"/>
        <v>85.98558791482175</v>
      </c>
      <c r="Y16" s="6">
        <f t="shared" si="8"/>
        <v>53.311064507189485</v>
      </c>
      <c r="Z16" s="6">
        <f t="shared" si="8"/>
        <v>71.65465659568478</v>
      </c>
      <c r="AA16" s="15">
        <f t="shared" si="8"/>
        <v>0.6578327403423438</v>
      </c>
      <c r="AB16" s="15">
        <f t="shared" si="3"/>
        <v>0.07165465659568479</v>
      </c>
      <c r="AC16" s="6">
        <f t="shared" si="9"/>
        <v>143.30931319136957</v>
      </c>
      <c r="AD16" s="6">
        <f t="shared" si="9"/>
        <v>88.85177417864915</v>
      </c>
      <c r="AE16" s="6">
        <f t="shared" si="9"/>
        <v>143.30931319136957</v>
      </c>
      <c r="AF16" s="15">
        <f t="shared" si="9"/>
        <v>1.012050369757452</v>
      </c>
      <c r="AG16" s="15">
        <f t="shared" si="4"/>
        <v>0.14330931319136958</v>
      </c>
      <c r="AH16" s="6">
        <f t="shared" si="10"/>
        <v>286.61862638273914</v>
      </c>
      <c r="AI16" s="6">
        <f t="shared" si="10"/>
        <v>177.7035483572983</v>
      </c>
      <c r="AJ16" s="3"/>
      <c r="AK16" s="3"/>
      <c r="AL16" s="3"/>
      <c r="AM16" s="3"/>
      <c r="AN16" s="3"/>
      <c r="AO16" s="3"/>
      <c r="AP16" s="3"/>
    </row>
    <row r="17" spans="1:42" ht="15">
      <c r="A17" s="3" t="s">
        <v>20</v>
      </c>
      <c r="B17" s="14">
        <f>(18/28)*6.948</f>
        <v>4.466571428571429</v>
      </c>
      <c r="C17" s="5">
        <f>SQRT((18/28+14.48)/14.73)</f>
        <v>1.0132475245559769</v>
      </c>
      <c r="D17" s="6">
        <f t="shared" si="5"/>
        <v>7.891335861027858</v>
      </c>
      <c r="E17" s="6">
        <f t="shared" si="11"/>
        <v>5.021759184290454</v>
      </c>
      <c r="F17" s="6">
        <f t="shared" si="12"/>
        <v>9.039166531722817</v>
      </c>
      <c r="G17" s="6">
        <f t="shared" si="13"/>
        <v>5.739153353474805</v>
      </c>
      <c r="H17" s="6">
        <f t="shared" si="11"/>
        <v>11.908743208460221</v>
      </c>
      <c r="I17" s="6">
        <f t="shared" si="11"/>
        <v>7.460899359517247</v>
      </c>
      <c r="J17" s="6">
        <f t="shared" si="14"/>
        <v>25.826190090636622</v>
      </c>
      <c r="K17" s="6">
        <f t="shared" si="15"/>
        <v>14.921798719034493</v>
      </c>
      <c r="L17" s="6">
        <f t="shared" si="15"/>
        <v>45.91322682779844</v>
      </c>
      <c r="M17" s="6">
        <f t="shared" si="15"/>
        <v>28.408809099700285</v>
      </c>
      <c r="N17" s="6">
        <f t="shared" si="15"/>
        <v>45.91322682779844</v>
      </c>
      <c r="O17" s="6">
        <f t="shared" si="15"/>
        <v>28.408809099700285</v>
      </c>
      <c r="P17" s="6">
        <f t="shared" si="15"/>
        <v>28.695766767374028</v>
      </c>
      <c r="Q17" s="15">
        <f t="shared" si="15"/>
        <v>0.2533118811389942</v>
      </c>
      <c r="R17" s="15">
        <f t="shared" si="1"/>
        <v>0.02869576676737403</v>
      </c>
      <c r="S17" s="6">
        <f t="shared" si="7"/>
        <v>63.130686888222854</v>
      </c>
      <c r="T17" s="6">
        <f t="shared" si="7"/>
        <v>39.026242803628676</v>
      </c>
      <c r="U17" s="6">
        <f t="shared" si="7"/>
        <v>41.48155240113768</v>
      </c>
      <c r="V17" s="15">
        <f t="shared" si="7"/>
        <v>0.40529900982239075</v>
      </c>
      <c r="W17" s="15">
        <f t="shared" si="2"/>
        <v>0.04148155240113768</v>
      </c>
      <c r="X17" s="6">
        <f t="shared" si="8"/>
        <v>86.08730030212207</v>
      </c>
      <c r="Y17" s="6">
        <f t="shared" si="8"/>
        <v>53.37412618731569</v>
      </c>
      <c r="Z17" s="6">
        <f t="shared" si="8"/>
        <v>71.73941691843505</v>
      </c>
      <c r="AA17" s="15">
        <f t="shared" si="8"/>
        <v>0.658610890961385</v>
      </c>
      <c r="AB17" s="15">
        <f t="shared" si="3"/>
        <v>0.07173941691843505</v>
      </c>
      <c r="AC17" s="6">
        <f t="shared" si="9"/>
        <v>143.4788338368701</v>
      </c>
      <c r="AD17" s="6">
        <f t="shared" si="9"/>
        <v>88.95687697885948</v>
      </c>
      <c r="AE17" s="6">
        <f t="shared" si="9"/>
        <v>143.4788338368701</v>
      </c>
      <c r="AF17" s="15">
        <f t="shared" si="9"/>
        <v>1.0132475245559769</v>
      </c>
      <c r="AG17" s="15">
        <f t="shared" si="4"/>
        <v>0.1434788338368701</v>
      </c>
      <c r="AH17" s="6">
        <f t="shared" si="10"/>
        <v>286.9576676737402</v>
      </c>
      <c r="AI17" s="6">
        <f t="shared" si="10"/>
        <v>177.91375395771897</v>
      </c>
      <c r="AJ17" s="3"/>
      <c r="AK17" s="3"/>
      <c r="AL17" s="3"/>
      <c r="AM17" s="3"/>
      <c r="AN17" s="3"/>
      <c r="AO17" s="3"/>
      <c r="AP17" s="3"/>
    </row>
    <row r="18" spans="1:42" ht="15">
      <c r="A18" s="3" t="s">
        <v>21</v>
      </c>
      <c r="B18" s="14">
        <f>(19/28)*6.94</f>
        <v>4.7092857142857145</v>
      </c>
      <c r="C18" s="5">
        <f>SQRT((19/28+14.48)/14.73)</f>
        <v>1.014443266580953</v>
      </c>
      <c r="D18" s="6">
        <f t="shared" si="5"/>
        <v>7.900648493621129</v>
      </c>
      <c r="E18" s="6">
        <f t="shared" si="11"/>
        <v>5.027685405031628</v>
      </c>
      <c r="F18" s="6">
        <f t="shared" si="12"/>
        <v>9.04983372905693</v>
      </c>
      <c r="G18" s="6">
        <f t="shared" si="13"/>
        <v>5.745926177179004</v>
      </c>
      <c r="H18" s="6">
        <f t="shared" si="11"/>
        <v>11.922796817646432</v>
      </c>
      <c r="I18" s="6">
        <f t="shared" si="11"/>
        <v>7.4697040303327045</v>
      </c>
      <c r="J18" s="6">
        <f t="shared" si="14"/>
        <v>25.856667797305516</v>
      </c>
      <c r="K18" s="6">
        <f aca="true" t="shared" si="16" ref="K18:Q27">$C18*K$6</f>
        <v>14.939408060665409</v>
      </c>
      <c r="L18" s="6">
        <f t="shared" si="16"/>
        <v>45.96740941743203</v>
      </c>
      <c r="M18" s="6">
        <f t="shared" si="16"/>
        <v>28.442334577036068</v>
      </c>
      <c r="N18" s="6">
        <f t="shared" si="16"/>
        <v>45.96740941743203</v>
      </c>
      <c r="O18" s="6">
        <f t="shared" si="16"/>
        <v>28.442334577036068</v>
      </c>
      <c r="P18" s="6">
        <f t="shared" si="16"/>
        <v>28.729630885895016</v>
      </c>
      <c r="Q18" s="15">
        <f t="shared" si="16"/>
        <v>0.25361081664523827</v>
      </c>
      <c r="R18" s="15">
        <f t="shared" si="1"/>
        <v>0.028729630885895016</v>
      </c>
      <c r="S18" s="6">
        <f t="shared" si="7"/>
        <v>63.205187948969034</v>
      </c>
      <c r="T18" s="6">
        <f t="shared" si="7"/>
        <v>39.07229800481722</v>
      </c>
      <c r="U18" s="6">
        <f t="shared" si="7"/>
        <v>41.53050513407332</v>
      </c>
      <c r="V18" s="15">
        <f t="shared" si="7"/>
        <v>0.40577730663238126</v>
      </c>
      <c r="W18" s="15">
        <f t="shared" si="2"/>
        <v>0.041530505134073324</v>
      </c>
      <c r="X18" s="6">
        <f t="shared" si="8"/>
        <v>86.18889265768505</v>
      </c>
      <c r="Y18" s="6">
        <f t="shared" si="8"/>
        <v>53.43711344776473</v>
      </c>
      <c r="Z18" s="6">
        <f t="shared" si="8"/>
        <v>71.82407721473753</v>
      </c>
      <c r="AA18" s="15">
        <f t="shared" si="8"/>
        <v>0.6593881232776195</v>
      </c>
      <c r="AB18" s="15">
        <f t="shared" si="3"/>
        <v>0.07182407721473753</v>
      </c>
      <c r="AC18" s="6">
        <f t="shared" si="9"/>
        <v>143.64815442947506</v>
      </c>
      <c r="AD18" s="6">
        <f t="shared" si="9"/>
        <v>89.06185574627455</v>
      </c>
      <c r="AE18" s="6">
        <f t="shared" si="9"/>
        <v>143.64815442947506</v>
      </c>
      <c r="AF18" s="15">
        <f t="shared" si="9"/>
        <v>1.014443266580953</v>
      </c>
      <c r="AG18" s="15">
        <f t="shared" si="4"/>
        <v>0.14364815442947507</v>
      </c>
      <c r="AH18" s="6">
        <f t="shared" si="10"/>
        <v>287.2963088589501</v>
      </c>
      <c r="AI18" s="6">
        <f t="shared" si="10"/>
        <v>178.1237114925491</v>
      </c>
      <c r="AJ18" s="3"/>
      <c r="AK18" s="3"/>
      <c r="AL18" s="3"/>
      <c r="AM18" s="3"/>
      <c r="AN18" s="3"/>
      <c r="AO18" s="3"/>
      <c r="AP18" s="3"/>
    </row>
    <row r="19" spans="1:42" ht="15">
      <c r="A19" s="3" t="s">
        <v>22</v>
      </c>
      <c r="B19" s="14">
        <f>(20/28)*6.94</f>
        <v>4.957142857142857</v>
      </c>
      <c r="C19" s="5">
        <f>SQRT((20/28+14.48)/14.73)</f>
        <v>1.0156376008222883</v>
      </c>
      <c r="D19" s="6">
        <f t="shared" si="5"/>
        <v>7.909950162167354</v>
      </c>
      <c r="E19" s="6">
        <f t="shared" si="11"/>
        <v>5.033604648651952</v>
      </c>
      <c r="F19" s="6">
        <f t="shared" si="12"/>
        <v>9.060488367573514</v>
      </c>
      <c r="G19" s="6">
        <f t="shared" si="13"/>
        <v>5.752691027030803</v>
      </c>
      <c r="H19" s="6">
        <f t="shared" si="11"/>
        <v>11.936833881088916</v>
      </c>
      <c r="I19" s="6">
        <f t="shared" si="11"/>
        <v>7.478498335140043</v>
      </c>
      <c r="J19" s="6">
        <f t="shared" si="14"/>
        <v>25.88710962163861</v>
      </c>
      <c r="K19" s="6">
        <f t="shared" si="16"/>
        <v>14.956996670280086</v>
      </c>
      <c r="L19" s="6">
        <f t="shared" si="16"/>
        <v>46.02152821624642</v>
      </c>
      <c r="M19" s="6">
        <f t="shared" si="16"/>
        <v>28.475820583802474</v>
      </c>
      <c r="N19" s="6">
        <f t="shared" si="16"/>
        <v>46.02152821624642</v>
      </c>
      <c r="O19" s="6">
        <f t="shared" si="16"/>
        <v>28.475820583802474</v>
      </c>
      <c r="P19" s="6">
        <f t="shared" si="16"/>
        <v>28.763455135154015</v>
      </c>
      <c r="Q19" s="15">
        <f t="shared" si="16"/>
        <v>0.25390940020557207</v>
      </c>
      <c r="R19" s="15">
        <f t="shared" si="1"/>
        <v>0.028763455135154013</v>
      </c>
      <c r="S19" s="6">
        <f t="shared" si="7"/>
        <v>63.27960129733883</v>
      </c>
      <c r="T19" s="6">
        <f t="shared" si="7"/>
        <v>39.11829898380946</v>
      </c>
      <c r="U19" s="6">
        <f t="shared" si="7"/>
        <v>41.57940023345995</v>
      </c>
      <c r="V19" s="15">
        <f t="shared" si="7"/>
        <v>0.40625504032891535</v>
      </c>
      <c r="W19" s="15">
        <f t="shared" si="2"/>
        <v>0.04157940023345995</v>
      </c>
      <c r="X19" s="6">
        <f t="shared" si="8"/>
        <v>86.29036540546204</v>
      </c>
      <c r="Y19" s="6">
        <f t="shared" si="8"/>
        <v>53.50002655138646</v>
      </c>
      <c r="Z19" s="6">
        <f t="shared" si="8"/>
        <v>71.90863783788502</v>
      </c>
      <c r="AA19" s="15">
        <f t="shared" si="8"/>
        <v>0.6601644405344874</v>
      </c>
      <c r="AB19" s="15">
        <f t="shared" si="3"/>
        <v>0.07190863783788502</v>
      </c>
      <c r="AC19" s="6">
        <f t="shared" si="9"/>
        <v>143.81727567577005</v>
      </c>
      <c r="AD19" s="6">
        <f t="shared" si="9"/>
        <v>89.16671091897744</v>
      </c>
      <c r="AE19" s="6">
        <f t="shared" si="9"/>
        <v>143.81727567577005</v>
      </c>
      <c r="AF19" s="15">
        <f t="shared" si="9"/>
        <v>1.0156376008222883</v>
      </c>
      <c r="AG19" s="15">
        <f t="shared" si="4"/>
        <v>0.14381727567577005</v>
      </c>
      <c r="AH19" s="6">
        <f t="shared" si="10"/>
        <v>287.6345513515401</v>
      </c>
      <c r="AI19" s="6">
        <f t="shared" si="10"/>
        <v>178.3334218379549</v>
      </c>
      <c r="AJ19" s="3"/>
      <c r="AK19" s="3"/>
      <c r="AL19" s="3"/>
      <c r="AM19" s="3"/>
      <c r="AN19" s="3"/>
      <c r="AO19" s="3"/>
      <c r="AP19" s="3"/>
    </row>
    <row r="20" spans="1:42" ht="15">
      <c r="A20" s="3" t="s">
        <v>23</v>
      </c>
      <c r="B20" s="14">
        <f>(21/28)*6.94</f>
        <v>5.205</v>
      </c>
      <c r="C20" s="5">
        <f>SQRT((21/28+14.48)/14.73)</f>
        <v>1.016830532240586</v>
      </c>
      <c r="D20" s="6">
        <f t="shared" si="5"/>
        <v>7.919240905300514</v>
      </c>
      <c r="E20" s="6">
        <f t="shared" si="11"/>
        <v>5.03951693973669</v>
      </c>
      <c r="F20" s="6">
        <f t="shared" si="12"/>
        <v>9.071130491526043</v>
      </c>
      <c r="G20" s="6">
        <f t="shared" si="13"/>
        <v>5.759447931127646</v>
      </c>
      <c r="H20" s="6">
        <f t="shared" si="11"/>
        <v>11.950854457089866</v>
      </c>
      <c r="I20" s="6">
        <f t="shared" si="11"/>
        <v>7.48728231046594</v>
      </c>
      <c r="J20" s="6">
        <f t="shared" si="14"/>
        <v>25.917515690074406</v>
      </c>
      <c r="K20" s="6">
        <f t="shared" si="16"/>
        <v>14.97456462093188</v>
      </c>
      <c r="L20" s="6">
        <f t="shared" si="16"/>
        <v>46.07558344902117</v>
      </c>
      <c r="M20" s="6">
        <f t="shared" si="16"/>
        <v>28.50926725908185</v>
      </c>
      <c r="N20" s="6">
        <f t="shared" si="16"/>
        <v>46.07558344902117</v>
      </c>
      <c r="O20" s="6">
        <f t="shared" si="16"/>
        <v>28.50926725908185</v>
      </c>
      <c r="P20" s="6">
        <f t="shared" si="16"/>
        <v>28.797239655638233</v>
      </c>
      <c r="Q20" s="15">
        <f t="shared" si="16"/>
        <v>0.2542076330601465</v>
      </c>
      <c r="R20" s="15">
        <f t="shared" si="1"/>
        <v>0.028797239655638233</v>
      </c>
      <c r="S20" s="6">
        <f t="shared" si="7"/>
        <v>63.353927242404104</v>
      </c>
      <c r="T20" s="6">
        <f t="shared" si="7"/>
        <v>39.16424593166799</v>
      </c>
      <c r="U20" s="6">
        <f t="shared" si="7"/>
        <v>41.62823790238075</v>
      </c>
      <c r="V20" s="15">
        <f t="shared" si="7"/>
        <v>0.4067322128962344</v>
      </c>
      <c r="W20" s="15">
        <f t="shared" si="2"/>
        <v>0.041628237902380745</v>
      </c>
      <c r="X20" s="6">
        <f t="shared" si="8"/>
        <v>86.39171896691468</v>
      </c>
      <c r="Y20" s="6">
        <f t="shared" si="8"/>
        <v>53.56286575948711</v>
      </c>
      <c r="Z20" s="6">
        <f t="shared" si="8"/>
        <v>71.99309913909556</v>
      </c>
      <c r="AA20" s="15">
        <f t="shared" si="8"/>
        <v>0.6609398459563809</v>
      </c>
      <c r="AB20" s="15">
        <f t="shared" si="3"/>
        <v>0.07199309913909556</v>
      </c>
      <c r="AC20" s="6">
        <f t="shared" si="9"/>
        <v>143.98619827819113</v>
      </c>
      <c r="AD20" s="6">
        <f t="shared" si="9"/>
        <v>89.27144293247851</v>
      </c>
      <c r="AE20" s="6">
        <f t="shared" si="9"/>
        <v>143.98619827819113</v>
      </c>
      <c r="AF20" s="15">
        <f t="shared" si="9"/>
        <v>1.016830532240586</v>
      </c>
      <c r="AG20" s="15">
        <f t="shared" si="4"/>
        <v>0.14398619827819112</v>
      </c>
      <c r="AH20" s="6">
        <f t="shared" si="10"/>
        <v>287.97239655638225</v>
      </c>
      <c r="AI20" s="6">
        <f t="shared" si="10"/>
        <v>178.54288586495701</v>
      </c>
      <c r="AJ20" s="3"/>
      <c r="AK20" s="3"/>
      <c r="AL20" s="3"/>
      <c r="AM20" s="3"/>
      <c r="AN20" s="3"/>
      <c r="AO20" s="3"/>
      <c r="AP20" s="3"/>
    </row>
    <row r="21" spans="1:42" ht="15">
      <c r="A21" s="3" t="s">
        <v>24</v>
      </c>
      <c r="B21" s="14">
        <f>(22/28)*6.94</f>
        <v>5.452857142857143</v>
      </c>
      <c r="C21" s="5">
        <f>SQRT((22/28+14.48)/14.73)</f>
        <v>1.0180220657673846</v>
      </c>
      <c r="D21" s="6">
        <f t="shared" si="5"/>
        <v>7.928520761428229</v>
      </c>
      <c r="E21" s="6">
        <f t="shared" si="11"/>
        <v>5.045422302727054</v>
      </c>
      <c r="F21" s="6">
        <f t="shared" si="12"/>
        <v>9.081760144908698</v>
      </c>
      <c r="G21" s="6">
        <f t="shared" si="13"/>
        <v>5.766196917402349</v>
      </c>
      <c r="H21" s="6">
        <f t="shared" si="11"/>
        <v>11.964858603609873</v>
      </c>
      <c r="I21" s="6">
        <f t="shared" si="11"/>
        <v>7.496055992623052</v>
      </c>
      <c r="J21" s="6">
        <f t="shared" si="14"/>
        <v>25.947886128310568</v>
      </c>
      <c r="K21" s="6">
        <f t="shared" si="16"/>
        <v>14.992111985246105</v>
      </c>
      <c r="L21" s="6">
        <f t="shared" si="16"/>
        <v>46.12957533921879</v>
      </c>
      <c r="M21" s="6">
        <f t="shared" si="16"/>
        <v>28.542674741141624</v>
      </c>
      <c r="N21" s="6">
        <f t="shared" si="16"/>
        <v>46.12957533921879</v>
      </c>
      <c r="O21" s="6">
        <f t="shared" si="16"/>
        <v>28.542674741141624</v>
      </c>
      <c r="P21" s="6">
        <f t="shared" si="16"/>
        <v>28.83098458701174</v>
      </c>
      <c r="Q21" s="15">
        <f t="shared" si="16"/>
        <v>0.25450551644184616</v>
      </c>
      <c r="R21" s="15">
        <f t="shared" si="1"/>
        <v>0.028830984587011742</v>
      </c>
      <c r="S21" s="6">
        <f t="shared" si="7"/>
        <v>63.42816609142583</v>
      </c>
      <c r="T21" s="6">
        <f t="shared" si="7"/>
        <v>39.21013903833597</v>
      </c>
      <c r="U21" s="6">
        <f t="shared" si="7"/>
        <v>41.67701834272899</v>
      </c>
      <c r="V21" s="15">
        <f t="shared" si="7"/>
        <v>0.4072088263069539</v>
      </c>
      <c r="W21" s="15">
        <f t="shared" si="2"/>
        <v>0.041677018342728994</v>
      </c>
      <c r="X21" s="6">
        <f t="shared" si="8"/>
        <v>86.49295376103521</v>
      </c>
      <c r="Y21" s="6">
        <f t="shared" si="8"/>
        <v>53.62563133184184</v>
      </c>
      <c r="Z21" s="6">
        <f t="shared" si="8"/>
        <v>72.07746146752935</v>
      </c>
      <c r="AA21" s="15">
        <f t="shared" si="8"/>
        <v>0.6617143427488</v>
      </c>
      <c r="AB21" s="15">
        <f t="shared" si="3"/>
        <v>0.07207746146752934</v>
      </c>
      <c r="AC21" s="6">
        <f t="shared" si="9"/>
        <v>144.1549229350587</v>
      </c>
      <c r="AD21" s="6">
        <f t="shared" si="9"/>
        <v>89.3760522197364</v>
      </c>
      <c r="AE21" s="6">
        <f t="shared" si="9"/>
        <v>144.1549229350587</v>
      </c>
      <c r="AF21" s="15">
        <f t="shared" si="9"/>
        <v>1.0180220657673846</v>
      </c>
      <c r="AG21" s="15">
        <f t="shared" si="4"/>
        <v>0.1441549229350587</v>
      </c>
      <c r="AH21" s="6">
        <f t="shared" si="10"/>
        <v>288.3098458701174</v>
      </c>
      <c r="AI21" s="6">
        <f t="shared" si="10"/>
        <v>178.7521044394728</v>
      </c>
      <c r="AJ21" s="3"/>
      <c r="AK21" s="3"/>
      <c r="AL21" s="3"/>
      <c r="AM21" s="3"/>
      <c r="AN21" s="3"/>
      <c r="AO21" s="3"/>
      <c r="AP21" s="3"/>
    </row>
    <row r="22" spans="1:42" ht="15">
      <c r="A22" s="3" t="s">
        <v>25</v>
      </c>
      <c r="B22" s="14">
        <f>(23/28)*6.94</f>
        <v>5.700714285714286</v>
      </c>
      <c r="C22" s="5">
        <f>SQRT((23/28+14.48)/14.73)</f>
        <v>1.0192122063053957</v>
      </c>
      <c r="D22" s="6">
        <f t="shared" si="5"/>
        <v>7.9377897687336105</v>
      </c>
      <c r="E22" s="6">
        <f t="shared" si="11"/>
        <v>5.051320761921389</v>
      </c>
      <c r="F22" s="6">
        <f t="shared" si="12"/>
        <v>9.092377371458499</v>
      </c>
      <c r="G22" s="6">
        <f t="shared" si="13"/>
        <v>5.772938013624445</v>
      </c>
      <c r="H22" s="6">
        <f t="shared" si="11"/>
        <v>11.978846378270722</v>
      </c>
      <c r="I22" s="6">
        <f t="shared" si="11"/>
        <v>7.5048194177117775</v>
      </c>
      <c r="J22" s="6">
        <f t="shared" si="14"/>
        <v>25.97822106131</v>
      </c>
      <c r="K22" s="6">
        <f t="shared" si="16"/>
        <v>15.009638835423555</v>
      </c>
      <c r="L22" s="6">
        <f t="shared" si="16"/>
        <v>46.18350410899556</v>
      </c>
      <c r="M22" s="6">
        <f t="shared" si="16"/>
        <v>28.576043167441</v>
      </c>
      <c r="N22" s="6">
        <f t="shared" si="16"/>
        <v>46.18350410899556</v>
      </c>
      <c r="O22" s="6">
        <f t="shared" si="16"/>
        <v>28.576043167441</v>
      </c>
      <c r="P22" s="6">
        <f t="shared" si="16"/>
        <v>28.864690068122222</v>
      </c>
      <c r="Q22" s="15">
        <f t="shared" si="16"/>
        <v>0.2548030515763489</v>
      </c>
      <c r="R22" s="15">
        <f t="shared" si="1"/>
        <v>0.02886469006812222</v>
      </c>
      <c r="S22" s="6">
        <f t="shared" si="7"/>
        <v>63.502318149868884</v>
      </c>
      <c r="T22" s="6">
        <f t="shared" si="7"/>
        <v>39.25597849264622</v>
      </c>
      <c r="U22" s="6">
        <f t="shared" si="7"/>
        <v>41.72574175521782</v>
      </c>
      <c r="V22" s="15">
        <f t="shared" si="7"/>
        <v>0.4076848825221583</v>
      </c>
      <c r="W22" s="15">
        <f t="shared" si="2"/>
        <v>0.041725741755217816</v>
      </c>
      <c r="X22" s="6">
        <f t="shared" si="8"/>
        <v>86.59407020436666</v>
      </c>
      <c r="Y22" s="6">
        <f t="shared" si="8"/>
        <v>53.68832352670733</v>
      </c>
      <c r="Z22" s="6">
        <f t="shared" si="8"/>
        <v>72.16172517030554</v>
      </c>
      <c r="AA22" s="15">
        <f t="shared" si="8"/>
        <v>0.6624879340985073</v>
      </c>
      <c r="AB22" s="15">
        <f t="shared" si="3"/>
        <v>0.07216172517030554</v>
      </c>
      <c r="AC22" s="6">
        <f t="shared" si="9"/>
        <v>144.3234503406111</v>
      </c>
      <c r="AD22" s="6">
        <f t="shared" si="9"/>
        <v>89.48053921117888</v>
      </c>
      <c r="AE22" s="6">
        <f t="shared" si="9"/>
        <v>144.3234503406111</v>
      </c>
      <c r="AF22" s="15">
        <f t="shared" si="9"/>
        <v>1.0192122063053957</v>
      </c>
      <c r="AG22" s="15">
        <f t="shared" si="4"/>
        <v>0.1443234503406111</v>
      </c>
      <c r="AH22" s="6">
        <f t="shared" si="10"/>
        <v>288.6469006812222</v>
      </c>
      <c r="AI22" s="6">
        <f t="shared" si="10"/>
        <v>178.96107842235776</v>
      </c>
      <c r="AJ22" s="3"/>
      <c r="AK22" s="3"/>
      <c r="AL22" s="3"/>
      <c r="AM22" s="3"/>
      <c r="AN22" s="3"/>
      <c r="AO22" s="3"/>
      <c r="AP22" s="3"/>
    </row>
    <row r="23" spans="1:42" ht="15">
      <c r="A23" s="3" t="s">
        <v>26</v>
      </c>
      <c r="B23" s="14">
        <f>(24/28)*6.94</f>
        <v>5.948571428571428</v>
      </c>
      <c r="C23" s="5">
        <f>SQRT((24/28+14.48)/14.73)</f>
        <v>1.0204009587287401</v>
      </c>
      <c r="D23" s="6">
        <f t="shared" si="5"/>
        <v>7.947047965177104</v>
      </c>
      <c r="E23" s="6">
        <f t="shared" si="11"/>
        <v>5.057212341476339</v>
      </c>
      <c r="F23" s="6">
        <f t="shared" si="12"/>
        <v>9.10298221465741</v>
      </c>
      <c r="G23" s="6">
        <f aca="true" t="shared" si="17" ref="G23:G49">$C23*G$6</f>
        <v>5.77967124740153</v>
      </c>
      <c r="H23" s="6">
        <f t="shared" si="11"/>
        <v>11.992817838358174</v>
      </c>
      <c r="I23" s="6">
        <f t="shared" si="11"/>
        <v>7.5135726216219885</v>
      </c>
      <c r="J23" s="6">
        <f t="shared" si="14"/>
        <v>26.008520613306885</v>
      </c>
      <c r="K23" s="6">
        <f t="shared" si="16"/>
        <v>15.027145243243977</v>
      </c>
      <c r="L23" s="6">
        <f t="shared" si="16"/>
        <v>46.23736997921224</v>
      </c>
      <c r="M23" s="6">
        <f t="shared" si="16"/>
        <v>28.609372674637573</v>
      </c>
      <c r="N23" s="6">
        <f t="shared" si="16"/>
        <v>46.23736997921224</v>
      </c>
      <c r="O23" s="6">
        <f t="shared" si="16"/>
        <v>28.609372674637573</v>
      </c>
      <c r="P23" s="6">
        <f t="shared" si="16"/>
        <v>28.89835623700765</v>
      </c>
      <c r="Q23" s="15">
        <f t="shared" si="16"/>
        <v>0.25510023968218504</v>
      </c>
      <c r="R23" s="15">
        <f t="shared" si="1"/>
        <v>0.02889835623700765</v>
      </c>
      <c r="S23" s="6">
        <f t="shared" si="7"/>
        <v>63.576383721416825</v>
      </c>
      <c r="T23" s="6">
        <f t="shared" si="7"/>
        <v>39.301764482330405</v>
      </c>
      <c r="U23" s="6">
        <f t="shared" si="7"/>
        <v>41.774408339389886</v>
      </c>
      <c r="V23" s="15">
        <f t="shared" si="7"/>
        <v>0.4081603834914961</v>
      </c>
      <c r="W23" s="15">
        <f t="shared" si="2"/>
        <v>0.04177440833938988</v>
      </c>
      <c r="X23" s="6">
        <f t="shared" si="8"/>
        <v>86.69506871102294</v>
      </c>
      <c r="Y23" s="6">
        <f t="shared" si="8"/>
        <v>53.75094260083423</v>
      </c>
      <c r="Z23" s="6">
        <f t="shared" si="8"/>
        <v>72.24589059251912</v>
      </c>
      <c r="AA23" s="15">
        <f t="shared" si="8"/>
        <v>0.6632606231736812</v>
      </c>
      <c r="AB23" s="15">
        <f t="shared" si="3"/>
        <v>0.07224589059251912</v>
      </c>
      <c r="AC23" s="6">
        <f t="shared" si="9"/>
        <v>144.49178118503823</v>
      </c>
      <c r="AD23" s="6">
        <f t="shared" si="9"/>
        <v>89.58490433472372</v>
      </c>
      <c r="AE23" s="6">
        <f t="shared" si="9"/>
        <v>144.49178118503823</v>
      </c>
      <c r="AF23" s="15">
        <f t="shared" si="9"/>
        <v>1.0204009587287401</v>
      </c>
      <c r="AG23" s="15">
        <f t="shared" si="4"/>
        <v>0.14449178118503825</v>
      </c>
      <c r="AH23" s="6">
        <f t="shared" si="10"/>
        <v>288.98356237007647</v>
      </c>
      <c r="AI23" s="6">
        <f t="shared" si="10"/>
        <v>179.16980866944743</v>
      </c>
      <c r="AJ23" s="3"/>
      <c r="AK23" s="3"/>
      <c r="AL23" s="3"/>
      <c r="AM23" s="3"/>
      <c r="AN23" s="3"/>
      <c r="AO23" s="3"/>
      <c r="AP23" s="3"/>
    </row>
    <row r="24" spans="1:42" ht="15">
      <c r="A24" s="3" t="s">
        <v>27</v>
      </c>
      <c r="B24" s="14">
        <f>(25/28)*6.94</f>
        <v>6.196428571428572</v>
      </c>
      <c r="C24" s="5">
        <f>SQRT((25/28+14.48)/14.73)</f>
        <v>1.0215883278831799</v>
      </c>
      <c r="D24" s="6">
        <f t="shared" si="5"/>
        <v>7.956295388498285</v>
      </c>
      <c r="E24" s="6">
        <f t="shared" si="11"/>
        <v>5.063097065408</v>
      </c>
      <c r="F24" s="6">
        <f t="shared" si="12"/>
        <v>9.113574717734398</v>
      </c>
      <c r="G24" s="6">
        <f t="shared" si="17"/>
        <v>5.786396646180571</v>
      </c>
      <c r="H24" s="6">
        <f t="shared" si="11"/>
        <v>12.006773040824685</v>
      </c>
      <c r="I24" s="6">
        <f t="shared" si="11"/>
        <v>7.522315640034742</v>
      </c>
      <c r="J24" s="6">
        <f t="shared" si="14"/>
        <v>26.03878490781257</v>
      </c>
      <c r="K24" s="6">
        <f t="shared" si="16"/>
        <v>15.044631280069485</v>
      </c>
      <c r="L24" s="6">
        <f t="shared" si="16"/>
        <v>46.29117316944457</v>
      </c>
      <c r="M24" s="6">
        <f t="shared" si="16"/>
        <v>28.64266339859383</v>
      </c>
      <c r="N24" s="6">
        <f t="shared" si="16"/>
        <v>46.29117316944457</v>
      </c>
      <c r="O24" s="6">
        <f t="shared" si="16"/>
        <v>28.64266339859383</v>
      </c>
      <c r="P24" s="6">
        <f t="shared" si="16"/>
        <v>28.93198323090286</v>
      </c>
      <c r="Q24" s="15">
        <f t="shared" si="16"/>
        <v>0.25539708197079497</v>
      </c>
      <c r="R24" s="15">
        <f t="shared" si="1"/>
        <v>0.028931983230902857</v>
      </c>
      <c r="S24" s="6">
        <f t="shared" si="7"/>
        <v>63.65036310798628</v>
      </c>
      <c r="T24" s="6">
        <f t="shared" si="7"/>
        <v>39.34749719402788</v>
      </c>
      <c r="U24" s="6">
        <f t="shared" si="7"/>
        <v>41.82301829362685</v>
      </c>
      <c r="V24" s="15">
        <f t="shared" si="7"/>
        <v>0.408635331153272</v>
      </c>
      <c r="W24" s="15">
        <f t="shared" si="2"/>
        <v>0.04182301829362685</v>
      </c>
      <c r="X24" s="6">
        <f t="shared" si="8"/>
        <v>86.79594969270856</v>
      </c>
      <c r="Y24" s="6">
        <f t="shared" si="8"/>
        <v>53.81348880947931</v>
      </c>
      <c r="Z24" s="6">
        <f t="shared" si="8"/>
        <v>72.32995807725713</v>
      </c>
      <c r="AA24" s="15">
        <f t="shared" si="8"/>
        <v>0.6640324131240669</v>
      </c>
      <c r="AB24" s="15">
        <f t="shared" si="3"/>
        <v>0.07232995807725713</v>
      </c>
      <c r="AC24" s="6">
        <f t="shared" si="9"/>
        <v>144.65991615451426</v>
      </c>
      <c r="AD24" s="6">
        <f t="shared" si="9"/>
        <v>89.68914801579885</v>
      </c>
      <c r="AE24" s="6">
        <f t="shared" si="9"/>
        <v>144.65991615451426</v>
      </c>
      <c r="AF24" s="15">
        <f t="shared" si="9"/>
        <v>1.0215883278831799</v>
      </c>
      <c r="AG24" s="15">
        <f t="shared" si="4"/>
        <v>0.14465991615451426</v>
      </c>
      <c r="AH24" s="6">
        <f t="shared" si="10"/>
        <v>289.3198323090285</v>
      </c>
      <c r="AI24" s="6">
        <f t="shared" si="10"/>
        <v>179.3782960315977</v>
      </c>
      <c r="AJ24" s="3"/>
      <c r="AK24" s="3"/>
      <c r="AL24" s="3"/>
      <c r="AM24" s="3"/>
      <c r="AN24" s="3"/>
      <c r="AO24" s="3"/>
      <c r="AP24" s="3"/>
    </row>
    <row r="25" spans="1:42" ht="15">
      <c r="A25" s="3" t="s">
        <v>28</v>
      </c>
      <c r="B25" s="14">
        <f>(26/28)*6.94</f>
        <v>6.444285714285715</v>
      </c>
      <c r="C25" s="5">
        <f>SQRT((26/28+14.48)/14.73)</f>
        <v>1.0227743185863494</v>
      </c>
      <c r="D25" s="6">
        <f t="shared" si="5"/>
        <v>7.965532076217674</v>
      </c>
      <c r="E25" s="6">
        <f t="shared" si="11"/>
        <v>5.068974957593065</v>
      </c>
      <c r="F25" s="6">
        <f t="shared" si="12"/>
        <v>9.124154923667518</v>
      </c>
      <c r="G25" s="6">
        <f t="shared" si="17"/>
        <v>5.793114237249218</v>
      </c>
      <c r="H25" s="6">
        <f t="shared" si="11"/>
        <v>12.020712042292127</v>
      </c>
      <c r="I25" s="6">
        <f t="shared" si="11"/>
        <v>7.531048508423982</v>
      </c>
      <c r="J25" s="6">
        <f t="shared" si="14"/>
        <v>26.069014067621477</v>
      </c>
      <c r="K25" s="6">
        <f t="shared" si="16"/>
        <v>15.062097016847964</v>
      </c>
      <c r="L25" s="6">
        <f t="shared" si="16"/>
        <v>46.34491389799374</v>
      </c>
      <c r="M25" s="6">
        <f t="shared" si="16"/>
        <v>28.675915474383626</v>
      </c>
      <c r="N25" s="6">
        <f t="shared" si="16"/>
        <v>46.34491389799374</v>
      </c>
      <c r="O25" s="6">
        <f t="shared" si="16"/>
        <v>28.675915474383626</v>
      </c>
      <c r="P25" s="6">
        <f t="shared" si="16"/>
        <v>28.965571186246088</v>
      </c>
      <c r="Q25" s="15">
        <f t="shared" si="16"/>
        <v>0.25569357964658734</v>
      </c>
      <c r="R25" s="15">
        <f t="shared" si="1"/>
        <v>0.028965571186246087</v>
      </c>
      <c r="S25" s="6">
        <f t="shared" si="7"/>
        <v>63.72425660974139</v>
      </c>
      <c r="T25" s="6">
        <f t="shared" si="7"/>
        <v>39.39317681329468</v>
      </c>
      <c r="U25" s="6">
        <f t="shared" si="7"/>
        <v>41.871571815158866</v>
      </c>
      <c r="V25" s="15">
        <f t="shared" si="7"/>
        <v>0.40910972743453977</v>
      </c>
      <c r="W25" s="15">
        <f t="shared" si="2"/>
        <v>0.04187157181515887</v>
      </c>
      <c r="X25" s="6">
        <f t="shared" si="8"/>
        <v>86.89671355873826</v>
      </c>
      <c r="Y25" s="6">
        <f t="shared" si="8"/>
        <v>53.87596240641772</v>
      </c>
      <c r="Z25" s="6">
        <f t="shared" si="8"/>
        <v>72.41392796561522</v>
      </c>
      <c r="AA25" s="15">
        <f t="shared" si="8"/>
        <v>0.6648033070811271</v>
      </c>
      <c r="AB25" s="15">
        <f t="shared" si="3"/>
        <v>0.07241392796561522</v>
      </c>
      <c r="AC25" s="6">
        <f t="shared" si="9"/>
        <v>144.82785593123043</v>
      </c>
      <c r="AD25" s="6">
        <f t="shared" si="9"/>
        <v>89.79327067736287</v>
      </c>
      <c r="AE25" s="6">
        <f t="shared" si="9"/>
        <v>144.82785593123043</v>
      </c>
      <c r="AF25" s="15">
        <f t="shared" si="9"/>
        <v>1.0227743185863494</v>
      </c>
      <c r="AG25" s="15">
        <f t="shared" si="4"/>
        <v>0.14482785593123043</v>
      </c>
      <c r="AH25" s="6">
        <f t="shared" si="10"/>
        <v>289.65571186246086</v>
      </c>
      <c r="AI25" s="6">
        <f t="shared" si="10"/>
        <v>179.58654135472574</v>
      </c>
      <c r="AJ25" s="3"/>
      <c r="AK25" s="3"/>
      <c r="AL25" s="3"/>
      <c r="AM25" s="3"/>
      <c r="AN25" s="3"/>
      <c r="AO25" s="3"/>
      <c r="AP25" s="3"/>
    </row>
    <row r="26" spans="1:42" ht="15">
      <c r="A26" s="3" t="s">
        <v>29</v>
      </c>
      <c r="B26" s="14">
        <f>(27/28)*6.94</f>
        <v>6.692142857142858</v>
      </c>
      <c r="C26" s="5">
        <f>SQRT((27/28+14.48)/14.73)</f>
        <v>1.0239589356279823</v>
      </c>
      <c r="D26" s="6">
        <f t="shared" si="5"/>
        <v>7.974758065638491</v>
      </c>
      <c r="E26" s="6">
        <f t="shared" si="11"/>
        <v>5.074846041769949</v>
      </c>
      <c r="F26" s="6">
        <f t="shared" si="12"/>
        <v>9.134722875185908</v>
      </c>
      <c r="G26" s="6">
        <f t="shared" si="17"/>
        <v>5.799824047737085</v>
      </c>
      <c r="H26" s="6">
        <f t="shared" si="11"/>
        <v>12.034634899054451</v>
      </c>
      <c r="I26" s="6">
        <f t="shared" si="11"/>
        <v>7.53977126205821</v>
      </c>
      <c r="J26" s="6">
        <f t="shared" si="14"/>
        <v>26.09920821481688</v>
      </c>
      <c r="K26" s="6">
        <f t="shared" si="16"/>
        <v>15.07954252411642</v>
      </c>
      <c r="L26" s="6">
        <f t="shared" si="16"/>
        <v>46.39859238189668</v>
      </c>
      <c r="M26" s="6">
        <f t="shared" si="16"/>
        <v>28.70912903629857</v>
      </c>
      <c r="N26" s="6">
        <f t="shared" si="16"/>
        <v>46.39859238189668</v>
      </c>
      <c r="O26" s="6">
        <f t="shared" si="16"/>
        <v>28.70912903629857</v>
      </c>
      <c r="P26" s="6">
        <f t="shared" si="16"/>
        <v>28.999120238685425</v>
      </c>
      <c r="Q26" s="15">
        <f t="shared" si="16"/>
        <v>0.2559897339069956</v>
      </c>
      <c r="R26" s="15">
        <f t="shared" si="1"/>
        <v>0.028999120238685425</v>
      </c>
      <c r="S26" s="6">
        <f t="shared" si="7"/>
        <v>63.79806452510793</v>
      </c>
      <c r="T26" s="6">
        <f t="shared" si="7"/>
        <v>39.438803524612176</v>
      </c>
      <c r="U26" s="6">
        <f t="shared" si="7"/>
        <v>41.92006910007384</v>
      </c>
      <c r="V26" s="15">
        <f t="shared" si="7"/>
        <v>0.40958357425119296</v>
      </c>
      <c r="W26" s="15">
        <f t="shared" si="2"/>
        <v>0.041920069100073835</v>
      </c>
      <c r="X26" s="6">
        <f t="shared" si="8"/>
        <v>86.99736071605626</v>
      </c>
      <c r="Y26" s="6">
        <f t="shared" si="8"/>
        <v>53.93836364395489</v>
      </c>
      <c r="Z26" s="6">
        <f t="shared" si="8"/>
        <v>72.49780059671355</v>
      </c>
      <c r="AA26" s="15">
        <f t="shared" si="8"/>
        <v>0.6655733081581886</v>
      </c>
      <c r="AB26" s="15">
        <f t="shared" si="3"/>
        <v>0.07249780059671354</v>
      </c>
      <c r="AC26" s="6">
        <f t="shared" si="9"/>
        <v>144.9956011934271</v>
      </c>
      <c r="AD26" s="6">
        <f t="shared" si="9"/>
        <v>89.89727273992482</v>
      </c>
      <c r="AE26" s="6">
        <f t="shared" si="9"/>
        <v>144.9956011934271</v>
      </c>
      <c r="AF26" s="15">
        <f t="shared" si="9"/>
        <v>1.0239589356279823</v>
      </c>
      <c r="AG26" s="15">
        <f t="shared" si="4"/>
        <v>0.14499560119342708</v>
      </c>
      <c r="AH26" s="6">
        <f t="shared" si="10"/>
        <v>289.9912023868542</v>
      </c>
      <c r="AI26" s="6">
        <f t="shared" si="10"/>
        <v>179.79454547984963</v>
      </c>
      <c r="AJ26" s="3"/>
      <c r="AK26" s="3"/>
      <c r="AL26" s="3"/>
      <c r="AM26" s="3"/>
      <c r="AN26" s="3"/>
      <c r="AO26" s="3"/>
      <c r="AP26" s="3"/>
    </row>
    <row r="27" spans="1:42" ht="15">
      <c r="A27" s="3" t="s">
        <v>30</v>
      </c>
      <c r="B27" s="14">
        <f>(28/28)*6.94</f>
        <v>6.94</v>
      </c>
      <c r="C27" s="5">
        <f>SQRT((28/28+14.48)/14.73)</f>
        <v>1.0251421837701393</v>
      </c>
      <c r="D27" s="6">
        <f t="shared" si="5"/>
        <v>7.983973393848437</v>
      </c>
      <c r="E27" s="6">
        <f t="shared" si="11"/>
        <v>5.080710341539914</v>
      </c>
      <c r="F27" s="6">
        <f t="shared" si="12"/>
        <v>9.145278614771845</v>
      </c>
      <c r="G27" s="6">
        <f t="shared" si="17"/>
        <v>5.8065261046170455</v>
      </c>
      <c r="H27" s="6">
        <f t="shared" si="11"/>
        <v>12.048541667080368</v>
      </c>
      <c r="I27" s="6">
        <f t="shared" si="11"/>
        <v>7.5484839360021585</v>
      </c>
      <c r="J27" s="6">
        <f t="shared" si="14"/>
        <v>26.1293674707767</v>
      </c>
      <c r="K27" s="6">
        <f t="shared" si="16"/>
        <v>15.096967872004317</v>
      </c>
      <c r="L27" s="6">
        <f t="shared" si="16"/>
        <v>46.452208836936364</v>
      </c>
      <c r="M27" s="6">
        <f t="shared" si="16"/>
        <v>28.74230421785437</v>
      </c>
      <c r="N27" s="6">
        <f t="shared" si="16"/>
        <v>46.452208836936364</v>
      </c>
      <c r="O27" s="6">
        <f t="shared" si="16"/>
        <v>28.74230421785437</v>
      </c>
      <c r="P27" s="6">
        <f t="shared" si="16"/>
        <v>29.032630523085224</v>
      </c>
      <c r="Q27" s="15">
        <f t="shared" si="16"/>
        <v>0.25628554594253483</v>
      </c>
      <c r="R27" s="15">
        <f t="shared" si="1"/>
        <v>0.029032630523085225</v>
      </c>
      <c r="S27" s="6">
        <f aca="true" t="shared" si="18" ref="S27:V46">$C27*S$6</f>
        <v>63.87178715078749</v>
      </c>
      <c r="T27" s="6">
        <f t="shared" si="18"/>
        <v>39.484377511395905</v>
      </c>
      <c r="U27" s="6">
        <f t="shared" si="18"/>
        <v>41.968510343326756</v>
      </c>
      <c r="V27" s="15">
        <f t="shared" si="18"/>
        <v>0.41005687350805575</v>
      </c>
      <c r="W27" s="15">
        <f t="shared" si="2"/>
        <v>0.041968510343326756</v>
      </c>
      <c r="X27" s="6">
        <f aca="true" t="shared" si="19" ref="X27:AA46">$C27*X$6</f>
        <v>87.09789156925567</v>
      </c>
      <c r="Y27" s="6">
        <f t="shared" si="19"/>
        <v>54.000692772938514</v>
      </c>
      <c r="Z27" s="6">
        <f t="shared" si="19"/>
        <v>72.58157630771305</v>
      </c>
      <c r="AA27" s="15">
        <f t="shared" si="19"/>
        <v>0.6663424194505906</v>
      </c>
      <c r="AB27" s="15">
        <f t="shared" si="3"/>
        <v>0.07258157630771304</v>
      </c>
      <c r="AC27" s="6">
        <f aca="true" t="shared" si="20" ref="AC27:AF46">$C27*AC$6</f>
        <v>145.1631526154261</v>
      </c>
      <c r="AD27" s="6">
        <f t="shared" si="20"/>
        <v>90.0011546215642</v>
      </c>
      <c r="AE27" s="6">
        <f t="shared" si="20"/>
        <v>145.1631526154261</v>
      </c>
      <c r="AF27" s="15">
        <f t="shared" si="20"/>
        <v>1.0251421837701393</v>
      </c>
      <c r="AG27" s="15">
        <f t="shared" si="4"/>
        <v>0.1451631526154261</v>
      </c>
      <c r="AH27" s="6">
        <f aca="true" t="shared" si="21" ref="AH27:AI46">$C27*AH$6</f>
        <v>290.3263052308522</v>
      </c>
      <c r="AI27" s="6">
        <f t="shared" si="21"/>
        <v>180.0023092431284</v>
      </c>
      <c r="AJ27" s="3"/>
      <c r="AK27" s="3"/>
      <c r="AL27" s="3"/>
      <c r="AM27" s="3"/>
      <c r="AN27" s="3"/>
      <c r="AO27" s="3"/>
      <c r="AP27" s="3"/>
    </row>
    <row r="28" spans="1:42" ht="15">
      <c r="A28" s="3" t="s">
        <v>31</v>
      </c>
      <c r="B28" s="14">
        <f>1.25*6.94</f>
        <v>8.675</v>
      </c>
      <c r="C28" s="5">
        <f>SQRT((1.25+14.48)/14.73)</f>
        <v>1.0333869858834814</v>
      </c>
      <c r="D28" s="6">
        <f t="shared" si="5"/>
        <v>8.048185248313716</v>
      </c>
      <c r="E28" s="6">
        <f aca="true" t="shared" si="22" ref="E28:I49">$C28*E$6</f>
        <v>5.121572430745093</v>
      </c>
      <c r="F28" s="6">
        <f t="shared" si="12"/>
        <v>9.218830375341167</v>
      </c>
      <c r="G28" s="6">
        <f t="shared" si="17"/>
        <v>5.85322563513725</v>
      </c>
      <c r="H28" s="6">
        <f t="shared" si="22"/>
        <v>12.145443192909793</v>
      </c>
      <c r="I28" s="6">
        <f t="shared" si="22"/>
        <v>7.609193325678424</v>
      </c>
      <c r="J28" s="6">
        <f t="shared" si="14"/>
        <v>26.339515358117623</v>
      </c>
      <c r="K28" s="6">
        <f aca="true" t="shared" si="23" ref="K28:Q37">$C28*K$6</f>
        <v>15.218386651356848</v>
      </c>
      <c r="L28" s="6">
        <f t="shared" si="23"/>
        <v>46.825805081098</v>
      </c>
      <c r="M28" s="6">
        <f t="shared" si="23"/>
        <v>28.973466893929384</v>
      </c>
      <c r="N28" s="6">
        <f t="shared" si="23"/>
        <v>46.825805081098</v>
      </c>
      <c r="O28" s="6">
        <f t="shared" si="23"/>
        <v>28.973466893929384</v>
      </c>
      <c r="P28" s="6">
        <f t="shared" si="23"/>
        <v>29.266128175686248</v>
      </c>
      <c r="Q28" s="15">
        <f t="shared" si="23"/>
        <v>0.25834674647087036</v>
      </c>
      <c r="R28" s="15">
        <f t="shared" si="1"/>
        <v>0.02926612817568625</v>
      </c>
      <c r="S28" s="6">
        <f t="shared" si="18"/>
        <v>64.38548198650975</v>
      </c>
      <c r="T28" s="6">
        <f t="shared" si="18"/>
        <v>39.8019343189333</v>
      </c>
      <c r="U28" s="6">
        <f t="shared" si="18"/>
        <v>42.30604602203614</v>
      </c>
      <c r="V28" s="15">
        <f t="shared" si="18"/>
        <v>0.4133547943533926</v>
      </c>
      <c r="W28" s="15">
        <f t="shared" si="2"/>
        <v>0.042306046022036144</v>
      </c>
      <c r="X28" s="6">
        <f t="shared" si="19"/>
        <v>87.79838452705873</v>
      </c>
      <c r="Y28" s="6">
        <f t="shared" si="19"/>
        <v>54.434998406776415</v>
      </c>
      <c r="Z28" s="6">
        <f t="shared" si="19"/>
        <v>73.1653204392156</v>
      </c>
      <c r="AA28" s="15">
        <f t="shared" si="19"/>
        <v>0.6717015408242629</v>
      </c>
      <c r="AB28" s="15">
        <f t="shared" si="3"/>
        <v>0.0731653204392156</v>
      </c>
      <c r="AC28" s="6">
        <f t="shared" si="20"/>
        <v>146.3306408784312</v>
      </c>
      <c r="AD28" s="6">
        <f t="shared" si="20"/>
        <v>90.72499734462737</v>
      </c>
      <c r="AE28" s="6">
        <f t="shared" si="20"/>
        <v>146.3306408784312</v>
      </c>
      <c r="AF28" s="15">
        <f t="shared" si="20"/>
        <v>1.0333869858834814</v>
      </c>
      <c r="AG28" s="15">
        <f t="shared" si="4"/>
        <v>0.1463306408784312</v>
      </c>
      <c r="AH28" s="6">
        <f t="shared" si="21"/>
        <v>292.6612817568624</v>
      </c>
      <c r="AI28" s="6">
        <f t="shared" si="21"/>
        <v>181.44999468925474</v>
      </c>
      <c r="AJ28" s="3"/>
      <c r="AK28" s="3"/>
      <c r="AL28" s="3"/>
      <c r="AM28" s="3"/>
      <c r="AN28" s="3"/>
      <c r="AO28" s="3"/>
      <c r="AP28" s="3"/>
    </row>
    <row r="29" spans="1:42" ht="15">
      <c r="A29" s="3" t="s">
        <v>32</v>
      </c>
      <c r="B29" s="14">
        <f>1.5*6.94</f>
        <v>10.41</v>
      </c>
      <c r="C29" s="5">
        <f>SQRT((1.5+14.48)/14.73)</f>
        <v>1.0415665260758353</v>
      </c>
      <c r="D29" s="6">
        <f t="shared" si="5"/>
        <v>8.111888832366319</v>
      </c>
      <c r="E29" s="6">
        <f t="shared" si="22"/>
        <v>5.162111075142202</v>
      </c>
      <c r="F29" s="6">
        <f t="shared" si="12"/>
        <v>9.291799935255964</v>
      </c>
      <c r="G29" s="6">
        <f t="shared" si="17"/>
        <v>5.899555514448232</v>
      </c>
      <c r="H29" s="6">
        <f t="shared" si="22"/>
        <v>12.241577692480082</v>
      </c>
      <c r="I29" s="6">
        <f t="shared" si="22"/>
        <v>7.669422168782701</v>
      </c>
      <c r="J29" s="6">
        <f t="shared" si="14"/>
        <v>26.547999815017043</v>
      </c>
      <c r="K29" s="6">
        <f t="shared" si="23"/>
        <v>15.338844337565401</v>
      </c>
      <c r="L29" s="6">
        <f t="shared" si="23"/>
        <v>47.196444115585855</v>
      </c>
      <c r="M29" s="6">
        <f t="shared" si="23"/>
        <v>29.202799796518747</v>
      </c>
      <c r="N29" s="6">
        <f t="shared" si="23"/>
        <v>47.196444115585855</v>
      </c>
      <c r="O29" s="6">
        <f t="shared" si="23"/>
        <v>29.202799796518747</v>
      </c>
      <c r="P29" s="6">
        <f t="shared" si="23"/>
        <v>29.49777757224116</v>
      </c>
      <c r="Q29" s="15">
        <f t="shared" si="23"/>
        <v>0.26039163151895883</v>
      </c>
      <c r="R29" s="15">
        <f t="shared" si="1"/>
        <v>0.02949777757224116</v>
      </c>
      <c r="S29" s="6">
        <f t="shared" si="18"/>
        <v>64.89511065893055</v>
      </c>
      <c r="T29" s="6">
        <f t="shared" si="18"/>
        <v>40.11697749824798</v>
      </c>
      <c r="U29" s="6">
        <f t="shared" si="18"/>
        <v>42.640909929307995</v>
      </c>
      <c r="V29" s="15">
        <f t="shared" si="18"/>
        <v>0.41662661043033417</v>
      </c>
      <c r="W29" s="15">
        <f t="shared" si="2"/>
        <v>0.042640909929307996</v>
      </c>
      <c r="X29" s="6">
        <f t="shared" si="19"/>
        <v>88.49333271672347</v>
      </c>
      <c r="Y29" s="6">
        <f t="shared" si="19"/>
        <v>54.86586628436855</v>
      </c>
      <c r="Z29" s="6">
        <f t="shared" si="19"/>
        <v>73.74444393060288</v>
      </c>
      <c r="AA29" s="15">
        <f t="shared" si="19"/>
        <v>0.6770182419492929</v>
      </c>
      <c r="AB29" s="15">
        <f t="shared" si="3"/>
        <v>0.07374444393060288</v>
      </c>
      <c r="AC29" s="6">
        <f t="shared" si="20"/>
        <v>147.48888786120577</v>
      </c>
      <c r="AD29" s="6">
        <f t="shared" si="20"/>
        <v>91.44311047394758</v>
      </c>
      <c r="AE29" s="6">
        <f t="shared" si="20"/>
        <v>147.48888786120577</v>
      </c>
      <c r="AF29" s="15">
        <f t="shared" si="20"/>
        <v>1.0415665260758353</v>
      </c>
      <c r="AG29" s="15">
        <f t="shared" si="4"/>
        <v>0.14748888786120576</v>
      </c>
      <c r="AH29" s="6">
        <f t="shared" si="21"/>
        <v>294.97777572241154</v>
      </c>
      <c r="AI29" s="6">
        <f t="shared" si="21"/>
        <v>182.88622094789517</v>
      </c>
      <c r="AJ29" s="3"/>
      <c r="AK29" s="3"/>
      <c r="AL29" s="3"/>
      <c r="AM29" s="3"/>
      <c r="AN29" s="3"/>
      <c r="AO29" s="3"/>
      <c r="AP29" s="3"/>
    </row>
    <row r="30" spans="1:42" ht="15">
      <c r="A30" s="3" t="s">
        <v>33</v>
      </c>
      <c r="B30" s="14">
        <f>1.75*6.94</f>
        <v>12.145000000000001</v>
      </c>
      <c r="C30" s="5">
        <f>SQRT((1.75+14.48)/14.73)</f>
        <v>1.0496823299884688</v>
      </c>
      <c r="D30" s="6">
        <f t="shared" si="5"/>
        <v>8.175096027947575</v>
      </c>
      <c r="E30" s="6">
        <f t="shared" si="22"/>
        <v>5.2023338359666385</v>
      </c>
      <c r="F30" s="6">
        <f t="shared" si="12"/>
        <v>9.364200904739949</v>
      </c>
      <c r="G30" s="6">
        <f t="shared" si="17"/>
        <v>5.945524383961874</v>
      </c>
      <c r="H30" s="6">
        <f t="shared" si="22"/>
        <v>12.336963096720888</v>
      </c>
      <c r="I30" s="6">
        <f t="shared" si="22"/>
        <v>7.729181699150435</v>
      </c>
      <c r="J30" s="6">
        <f t="shared" si="14"/>
        <v>26.75485972782843</v>
      </c>
      <c r="K30" s="6">
        <f t="shared" si="23"/>
        <v>15.45836339830087</v>
      </c>
      <c r="L30" s="6">
        <f t="shared" si="23"/>
        <v>47.56419507169499</v>
      </c>
      <c r="M30" s="6">
        <f t="shared" si="23"/>
        <v>29.430345700611273</v>
      </c>
      <c r="N30" s="6">
        <f t="shared" si="23"/>
        <v>47.56419507169499</v>
      </c>
      <c r="O30" s="6">
        <f t="shared" si="23"/>
        <v>29.430345700611273</v>
      </c>
      <c r="P30" s="6">
        <f t="shared" si="23"/>
        <v>29.72762191980937</v>
      </c>
      <c r="Q30" s="15">
        <f t="shared" si="23"/>
        <v>0.2624205824971172</v>
      </c>
      <c r="R30" s="15">
        <f t="shared" si="1"/>
        <v>0.02972762191980937</v>
      </c>
      <c r="S30" s="6">
        <f t="shared" si="18"/>
        <v>65.4007682235806</v>
      </c>
      <c r="T30" s="6">
        <f t="shared" si="18"/>
        <v>40.42956581094074</v>
      </c>
      <c r="U30" s="6">
        <f t="shared" si="18"/>
        <v>42.97316452368935</v>
      </c>
      <c r="V30" s="15">
        <f t="shared" si="18"/>
        <v>0.41987293199538755</v>
      </c>
      <c r="W30" s="15">
        <f t="shared" si="2"/>
        <v>0.04297316452368935</v>
      </c>
      <c r="X30" s="6">
        <f t="shared" si="19"/>
        <v>89.1828657594281</v>
      </c>
      <c r="Y30" s="6">
        <f t="shared" si="19"/>
        <v>55.29337677084542</v>
      </c>
      <c r="Z30" s="6">
        <f t="shared" si="19"/>
        <v>74.31905479952341</v>
      </c>
      <c r="AA30" s="15">
        <f t="shared" si="19"/>
        <v>0.6822935144925047</v>
      </c>
      <c r="AB30" s="15">
        <f t="shared" si="3"/>
        <v>0.07431905479952342</v>
      </c>
      <c r="AC30" s="6">
        <f t="shared" si="20"/>
        <v>148.63810959904683</v>
      </c>
      <c r="AD30" s="6">
        <f t="shared" si="20"/>
        <v>92.15562795140903</v>
      </c>
      <c r="AE30" s="6">
        <f t="shared" si="20"/>
        <v>148.63810959904683</v>
      </c>
      <c r="AF30" s="15">
        <f t="shared" si="20"/>
        <v>1.0496823299884688</v>
      </c>
      <c r="AG30" s="15">
        <f t="shared" si="4"/>
        <v>0.14863810959904683</v>
      </c>
      <c r="AH30" s="6">
        <f t="shared" si="21"/>
        <v>297.27621919809366</v>
      </c>
      <c r="AI30" s="6">
        <f t="shared" si="21"/>
        <v>184.31125590281806</v>
      </c>
      <c r="AJ30" s="3"/>
      <c r="AK30" s="3"/>
      <c r="AL30" s="3"/>
      <c r="AM30" s="3"/>
      <c r="AN30" s="3"/>
      <c r="AO30" s="3"/>
      <c r="AP30" s="3"/>
    </row>
    <row r="31" spans="1:42" ht="15">
      <c r="A31" s="3" t="s">
        <v>34</v>
      </c>
      <c r="B31" s="14">
        <f>2*6.94</f>
        <v>13.88</v>
      </c>
      <c r="C31" s="5">
        <f>SQRT((2+14.48)/14.73)</f>
        <v>1.057735864731057</v>
      </c>
      <c r="D31" s="6">
        <f t="shared" si="5"/>
        <v>8.237818261145303</v>
      </c>
      <c r="E31" s="6">
        <f t="shared" si="22"/>
        <v>5.242247984365193</v>
      </c>
      <c r="F31" s="6">
        <f t="shared" si="12"/>
        <v>9.43604637185735</v>
      </c>
      <c r="G31" s="6">
        <f t="shared" si="17"/>
        <v>5.991140553560221</v>
      </c>
      <c r="H31" s="6">
        <f t="shared" si="22"/>
        <v>12.431616648637458</v>
      </c>
      <c r="I31" s="6">
        <f t="shared" si="22"/>
        <v>7.788482719628287</v>
      </c>
      <c r="J31" s="6">
        <f t="shared" si="14"/>
        <v>26.960132491020993</v>
      </c>
      <c r="K31" s="6">
        <f t="shared" si="23"/>
        <v>15.576965439256574</v>
      </c>
      <c r="L31" s="6">
        <f t="shared" si="23"/>
        <v>47.92912442848177</v>
      </c>
      <c r="M31" s="6">
        <f t="shared" si="23"/>
        <v>29.656145740123094</v>
      </c>
      <c r="N31" s="6">
        <f t="shared" si="23"/>
        <v>47.92912442848177</v>
      </c>
      <c r="O31" s="6">
        <f t="shared" si="23"/>
        <v>29.656145740123094</v>
      </c>
      <c r="P31" s="6">
        <f t="shared" si="23"/>
        <v>29.955702767801107</v>
      </c>
      <c r="Q31" s="15">
        <f t="shared" si="23"/>
        <v>0.26443396618276427</v>
      </c>
      <c r="R31" s="15">
        <f t="shared" si="1"/>
        <v>0.029955702767801108</v>
      </c>
      <c r="S31" s="6">
        <f t="shared" si="18"/>
        <v>65.90254608916243</v>
      </c>
      <c r="T31" s="6">
        <f t="shared" si="18"/>
        <v>40.739755764209505</v>
      </c>
      <c r="U31" s="6">
        <f t="shared" si="18"/>
        <v>43.30286986749017</v>
      </c>
      <c r="V31" s="15">
        <f t="shared" si="18"/>
        <v>0.42309434589242284</v>
      </c>
      <c r="W31" s="15">
        <f t="shared" si="2"/>
        <v>0.04330286986749017</v>
      </c>
      <c r="X31" s="6">
        <f t="shared" si="19"/>
        <v>89.86710830340331</v>
      </c>
      <c r="Y31" s="6">
        <f t="shared" si="19"/>
        <v>55.717607148110055</v>
      </c>
      <c r="Z31" s="6">
        <f t="shared" si="19"/>
        <v>74.88925691950276</v>
      </c>
      <c r="AA31" s="15">
        <f t="shared" si="19"/>
        <v>0.6875283120751872</v>
      </c>
      <c r="AB31" s="15">
        <f t="shared" si="3"/>
        <v>0.07488925691950275</v>
      </c>
      <c r="AC31" s="6">
        <f t="shared" si="20"/>
        <v>149.7785138390055</v>
      </c>
      <c r="AD31" s="6">
        <f t="shared" si="20"/>
        <v>92.86267858018343</v>
      </c>
      <c r="AE31" s="6">
        <f t="shared" si="20"/>
        <v>149.7785138390055</v>
      </c>
      <c r="AF31" s="15">
        <f t="shared" si="20"/>
        <v>1.057735864731057</v>
      </c>
      <c r="AG31" s="15">
        <f t="shared" si="4"/>
        <v>0.1497785138390055</v>
      </c>
      <c r="AH31" s="6">
        <f t="shared" si="21"/>
        <v>299.557027678011</v>
      </c>
      <c r="AI31" s="6">
        <f t="shared" si="21"/>
        <v>185.72535716036685</v>
      </c>
      <c r="AJ31" s="3"/>
      <c r="AK31" s="3"/>
      <c r="AL31" s="3"/>
      <c r="AM31" s="3"/>
      <c r="AN31" s="3"/>
      <c r="AO31" s="3"/>
      <c r="AP31" s="3"/>
    </row>
    <row r="32" spans="1:42" ht="15">
      <c r="A32" s="3" t="s">
        <v>35</v>
      </c>
      <c r="B32" s="14">
        <f>2.25*6.94</f>
        <v>15.615</v>
      </c>
      <c r="C32" s="5">
        <f>SQRT((2.25+14.48)/14.73)</f>
        <v>1.0657285419780658</v>
      </c>
      <c r="D32" s="6">
        <f t="shared" si="5"/>
        <v>8.300066526308923</v>
      </c>
      <c r="E32" s="6">
        <f t="shared" si="22"/>
        <v>5.281860516742042</v>
      </c>
      <c r="F32" s="6">
        <f t="shared" si="12"/>
        <v>9.507348930135676</v>
      </c>
      <c r="G32" s="6">
        <f t="shared" si="17"/>
        <v>6.0364120191337625</v>
      </c>
      <c r="H32" s="6">
        <f t="shared" si="22"/>
        <v>12.525554939702557</v>
      </c>
      <c r="I32" s="6">
        <f t="shared" si="22"/>
        <v>7.847335624873891</v>
      </c>
      <c r="J32" s="6">
        <f t="shared" si="14"/>
        <v>27.163854086101928</v>
      </c>
      <c r="K32" s="6">
        <f t="shared" si="23"/>
        <v>15.694671249747781</v>
      </c>
      <c r="L32" s="6">
        <f t="shared" si="23"/>
        <v>48.2912961530701</v>
      </c>
      <c r="M32" s="6">
        <f t="shared" si="23"/>
        <v>29.88023949471212</v>
      </c>
      <c r="N32" s="6">
        <f t="shared" si="23"/>
        <v>48.2912961530701</v>
      </c>
      <c r="O32" s="6">
        <f t="shared" si="23"/>
        <v>29.88023949471212</v>
      </c>
      <c r="P32" s="6">
        <f t="shared" si="23"/>
        <v>30.182060095668813</v>
      </c>
      <c r="Q32" s="15">
        <f t="shared" si="23"/>
        <v>0.26643213549451644</v>
      </c>
      <c r="R32" s="15">
        <f t="shared" si="1"/>
        <v>0.030182060095668813</v>
      </c>
      <c r="S32" s="6">
        <f t="shared" si="18"/>
        <v>66.40053221047138</v>
      </c>
      <c r="T32" s="6">
        <f t="shared" si="18"/>
        <v>41.047601730109584</v>
      </c>
      <c r="U32" s="6">
        <f t="shared" si="18"/>
        <v>43.63008375354675</v>
      </c>
      <c r="V32" s="15">
        <f t="shared" si="18"/>
        <v>0.42629141679122634</v>
      </c>
      <c r="W32" s="15">
        <f t="shared" si="2"/>
        <v>0.04363008375354675</v>
      </c>
      <c r="X32" s="6">
        <f t="shared" si="19"/>
        <v>90.54618028700642</v>
      </c>
      <c r="Y32" s="6">
        <f t="shared" si="19"/>
        <v>56.138631777943985</v>
      </c>
      <c r="Z32" s="6">
        <f t="shared" si="19"/>
        <v>75.45515023917203</v>
      </c>
      <c r="AA32" s="15">
        <f t="shared" si="19"/>
        <v>0.6927235522857428</v>
      </c>
      <c r="AB32" s="15">
        <f t="shared" si="3"/>
        <v>0.07545515023917203</v>
      </c>
      <c r="AC32" s="6">
        <f t="shared" si="20"/>
        <v>150.91030047834406</v>
      </c>
      <c r="AD32" s="6">
        <f t="shared" si="20"/>
        <v>93.56438629657332</v>
      </c>
      <c r="AE32" s="6">
        <f t="shared" si="20"/>
        <v>150.91030047834406</v>
      </c>
      <c r="AF32" s="15">
        <f t="shared" si="20"/>
        <v>1.0657285419780658</v>
      </c>
      <c r="AG32" s="15">
        <f t="shared" si="4"/>
        <v>0.15091030047834406</v>
      </c>
      <c r="AH32" s="6">
        <f t="shared" si="21"/>
        <v>301.8206009566881</v>
      </c>
      <c r="AI32" s="6">
        <f t="shared" si="21"/>
        <v>187.12877259314664</v>
      </c>
      <c r="AJ32" s="3"/>
      <c r="AK32" s="3"/>
      <c r="AL32" s="3"/>
      <c r="AM32" s="3"/>
      <c r="AN32" s="3"/>
      <c r="AO32" s="3"/>
      <c r="AP32" s="3"/>
    </row>
    <row r="33" spans="1:42" ht="15">
      <c r="A33" s="3" t="s">
        <v>36</v>
      </c>
      <c r="B33" s="14">
        <f>2.5*6.94</f>
        <v>17.35</v>
      </c>
      <c r="C33" s="5">
        <f>SQRT((2.5+14.48)/14.73)</f>
        <v>1.0736617208576595</v>
      </c>
      <c r="D33" s="6">
        <f t="shared" si="5"/>
        <v>8.36185140854875</v>
      </c>
      <c r="E33" s="6">
        <f t="shared" si="22"/>
        <v>5.321178169076477</v>
      </c>
      <c r="F33" s="6">
        <f t="shared" si="12"/>
        <v>9.578120704337659</v>
      </c>
      <c r="G33" s="6">
        <f t="shared" si="17"/>
        <v>6.081346478944545</v>
      </c>
      <c r="H33" s="6">
        <f t="shared" si="22"/>
        <v>12.618793943809932</v>
      </c>
      <c r="I33" s="6">
        <f t="shared" si="22"/>
        <v>7.905750422627909</v>
      </c>
      <c r="J33" s="6">
        <f t="shared" si="14"/>
        <v>27.366059155250454</v>
      </c>
      <c r="K33" s="6">
        <f t="shared" si="23"/>
        <v>15.811500845255818</v>
      </c>
      <c r="L33" s="6">
        <f t="shared" si="23"/>
        <v>48.65077183155636</v>
      </c>
      <c r="M33" s="6">
        <f t="shared" si="23"/>
        <v>30.1026650707755</v>
      </c>
      <c r="N33" s="6">
        <f t="shared" si="23"/>
        <v>48.65077183155636</v>
      </c>
      <c r="O33" s="6">
        <f t="shared" si="23"/>
        <v>30.1026650707755</v>
      </c>
      <c r="P33" s="6">
        <f t="shared" si="23"/>
        <v>30.406732394722727</v>
      </c>
      <c r="Q33" s="15">
        <f t="shared" si="23"/>
        <v>0.2684154302144149</v>
      </c>
      <c r="R33" s="15">
        <f t="shared" si="1"/>
        <v>0.030406732394722726</v>
      </c>
      <c r="S33" s="6">
        <f t="shared" si="18"/>
        <v>66.89481126839</v>
      </c>
      <c r="T33" s="6">
        <f t="shared" si="18"/>
        <v>41.35315605682291</v>
      </c>
      <c r="U33" s="6">
        <f t="shared" si="18"/>
        <v>43.954861823491385</v>
      </c>
      <c r="V33" s="15">
        <f t="shared" si="18"/>
        <v>0.42946468834306384</v>
      </c>
      <c r="W33" s="15">
        <f t="shared" si="2"/>
        <v>0.043954861823491384</v>
      </c>
      <c r="X33" s="6">
        <f t="shared" si="19"/>
        <v>91.22019718416817</v>
      </c>
      <c r="Y33" s="6">
        <f t="shared" si="19"/>
        <v>56.55652225418427</v>
      </c>
      <c r="Z33" s="6">
        <f t="shared" si="19"/>
        <v>76.01683098680681</v>
      </c>
      <c r="AA33" s="15">
        <f t="shared" si="19"/>
        <v>0.6978801185574788</v>
      </c>
      <c r="AB33" s="15">
        <f t="shared" si="3"/>
        <v>0.07601683098680681</v>
      </c>
      <c r="AC33" s="6">
        <f t="shared" si="20"/>
        <v>152.03366197361362</v>
      </c>
      <c r="AD33" s="6">
        <f t="shared" si="20"/>
        <v>94.26087042364045</v>
      </c>
      <c r="AE33" s="6">
        <f t="shared" si="20"/>
        <v>152.03366197361362</v>
      </c>
      <c r="AF33" s="15">
        <f t="shared" si="20"/>
        <v>1.0736617208576595</v>
      </c>
      <c r="AG33" s="15">
        <f t="shared" si="4"/>
        <v>0.15203366197361362</v>
      </c>
      <c r="AH33" s="6">
        <f t="shared" si="21"/>
        <v>304.06732394722724</v>
      </c>
      <c r="AI33" s="6">
        <f t="shared" si="21"/>
        <v>188.5217408472809</v>
      </c>
      <c r="AJ33" s="3"/>
      <c r="AK33" s="3"/>
      <c r="AL33" s="3"/>
      <c r="AM33" s="3"/>
      <c r="AN33" s="3"/>
      <c r="AO33" s="3"/>
      <c r="AP33" s="3"/>
    </row>
    <row r="34" spans="1:42" ht="15">
      <c r="A34" s="3" t="s">
        <v>37</v>
      </c>
      <c r="B34" s="14">
        <f>2.75*6.94</f>
        <v>19.085</v>
      </c>
      <c r="C34" s="5">
        <f>SQRT((2.75+14.48)/14.73)</f>
        <v>1.0815367106498823</v>
      </c>
      <c r="D34" s="6">
        <f t="shared" si="5"/>
        <v>8.42318310474986</v>
      </c>
      <c r="E34" s="6">
        <f t="shared" si="22"/>
        <v>5.360207430295366</v>
      </c>
      <c r="F34" s="6">
        <f t="shared" si="12"/>
        <v>9.64837337453166</v>
      </c>
      <c r="G34" s="6">
        <f t="shared" si="17"/>
        <v>6.125951348908991</v>
      </c>
      <c r="H34" s="6">
        <f t="shared" si="22"/>
        <v>12.711349048986156</v>
      </c>
      <c r="I34" s="6">
        <f t="shared" si="22"/>
        <v>7.963736753581688</v>
      </c>
      <c r="J34" s="6">
        <f t="shared" si="14"/>
        <v>27.566781070090457</v>
      </c>
      <c r="K34" s="6">
        <f t="shared" si="23"/>
        <v>15.927473507163375</v>
      </c>
      <c r="L34" s="6">
        <f t="shared" si="23"/>
        <v>49.00761079127193</v>
      </c>
      <c r="M34" s="6">
        <f t="shared" si="23"/>
        <v>30.323459177099505</v>
      </c>
      <c r="N34" s="6">
        <f t="shared" si="23"/>
        <v>49.00761079127193</v>
      </c>
      <c r="O34" s="6">
        <f t="shared" si="23"/>
        <v>30.323459177099505</v>
      </c>
      <c r="P34" s="6">
        <f t="shared" si="23"/>
        <v>30.629756744544952</v>
      </c>
      <c r="Q34" s="15">
        <f t="shared" si="23"/>
        <v>0.2703841776624706</v>
      </c>
      <c r="R34" s="15">
        <f t="shared" si="1"/>
        <v>0.03062975674454495</v>
      </c>
      <c r="S34" s="6">
        <f t="shared" si="18"/>
        <v>67.3854648379989</v>
      </c>
      <c r="T34" s="6">
        <f t="shared" si="18"/>
        <v>41.65646917258113</v>
      </c>
      <c r="U34" s="6">
        <f t="shared" si="18"/>
        <v>44.27725767821372</v>
      </c>
      <c r="V34" s="15">
        <f t="shared" si="18"/>
        <v>0.432614684259953</v>
      </c>
      <c r="W34" s="15">
        <f t="shared" si="2"/>
        <v>0.04427725767821372</v>
      </c>
      <c r="X34" s="6">
        <f t="shared" si="19"/>
        <v>91.88927023363485</v>
      </c>
      <c r="Y34" s="6">
        <f t="shared" si="19"/>
        <v>56.971347544853614</v>
      </c>
      <c r="Z34" s="6">
        <f t="shared" si="19"/>
        <v>76.57439186136237</v>
      </c>
      <c r="AA34" s="15">
        <f t="shared" si="19"/>
        <v>0.7029988619224236</v>
      </c>
      <c r="AB34" s="15">
        <f t="shared" si="3"/>
        <v>0.07657439186136238</v>
      </c>
      <c r="AC34" s="6">
        <f t="shared" si="20"/>
        <v>153.14878372272474</v>
      </c>
      <c r="AD34" s="6">
        <f t="shared" si="20"/>
        <v>94.95224590808935</v>
      </c>
      <c r="AE34" s="6">
        <f t="shared" si="20"/>
        <v>153.14878372272474</v>
      </c>
      <c r="AF34" s="15">
        <f t="shared" si="20"/>
        <v>1.0815367106498823</v>
      </c>
      <c r="AG34" s="15">
        <f t="shared" si="4"/>
        <v>0.15314878372272475</v>
      </c>
      <c r="AH34" s="6">
        <f t="shared" si="21"/>
        <v>306.2975674454495</v>
      </c>
      <c r="AI34" s="6">
        <f t="shared" si="21"/>
        <v>189.9044918161787</v>
      </c>
      <c r="AJ34" s="3"/>
      <c r="AK34" s="3"/>
      <c r="AL34" s="3"/>
      <c r="AM34" s="3"/>
      <c r="AN34" s="3"/>
      <c r="AO34" s="3"/>
      <c r="AP34" s="3"/>
    </row>
    <row r="35" spans="1:42" ht="15">
      <c r="A35" s="3" t="s">
        <v>38</v>
      </c>
      <c r="B35" s="14">
        <f>3*6.94</f>
        <v>20.82</v>
      </c>
      <c r="C35" s="5">
        <f>SQRT((3+14.48)/14.73)</f>
        <v>1.0893547733092759</v>
      </c>
      <c r="D35" s="6">
        <f t="shared" si="5"/>
        <v>8.48407144321866</v>
      </c>
      <c r="E35" s="6">
        <f t="shared" si="22"/>
        <v>5.39895455477551</v>
      </c>
      <c r="F35" s="6">
        <f t="shared" si="12"/>
        <v>9.718118198595919</v>
      </c>
      <c r="G35" s="6">
        <f t="shared" si="17"/>
        <v>6.170233776886298</v>
      </c>
      <c r="H35" s="6">
        <f t="shared" si="22"/>
        <v>12.803235087039068</v>
      </c>
      <c r="I35" s="6">
        <f t="shared" si="22"/>
        <v>8.021303909952186</v>
      </c>
      <c r="J35" s="6">
        <f t="shared" si="14"/>
        <v>27.766051995988338</v>
      </c>
      <c r="K35" s="6">
        <f t="shared" si="23"/>
        <v>16.042607819904372</v>
      </c>
      <c r="L35" s="6">
        <f t="shared" si="23"/>
        <v>49.361870215090384</v>
      </c>
      <c r="M35" s="6">
        <f t="shared" si="23"/>
        <v>30.54265719558717</v>
      </c>
      <c r="N35" s="6">
        <f t="shared" si="23"/>
        <v>49.361870215090384</v>
      </c>
      <c r="O35" s="6">
        <f t="shared" si="23"/>
        <v>30.54265719558717</v>
      </c>
      <c r="P35" s="6">
        <f t="shared" si="23"/>
        <v>30.851168884431488</v>
      </c>
      <c r="Q35" s="15">
        <f t="shared" si="23"/>
        <v>0.27233869332731897</v>
      </c>
      <c r="R35" s="15">
        <f t="shared" si="1"/>
        <v>0.030851168884431488</v>
      </c>
      <c r="S35" s="6">
        <f t="shared" si="18"/>
        <v>67.87257154574927</v>
      </c>
      <c r="T35" s="6">
        <f t="shared" si="18"/>
        <v>41.95758968282682</v>
      </c>
      <c r="U35" s="6">
        <f t="shared" si="18"/>
        <v>44.59732298113477</v>
      </c>
      <c r="V35" s="15">
        <f t="shared" si="18"/>
        <v>0.4357419093237104</v>
      </c>
      <c r="W35" s="15">
        <f t="shared" si="2"/>
        <v>0.044597322981134765</v>
      </c>
      <c r="X35" s="6">
        <f t="shared" si="19"/>
        <v>92.55350665329446</v>
      </c>
      <c r="Y35" s="6">
        <f t="shared" si="19"/>
        <v>57.383174125042565</v>
      </c>
      <c r="Z35" s="6">
        <f t="shared" si="19"/>
        <v>77.12792221107871</v>
      </c>
      <c r="AA35" s="15">
        <f t="shared" si="19"/>
        <v>0.7080806026510293</v>
      </c>
      <c r="AB35" s="15">
        <f t="shared" si="3"/>
        <v>0.07712792221107871</v>
      </c>
      <c r="AC35" s="6">
        <f t="shared" si="20"/>
        <v>154.25584442215742</v>
      </c>
      <c r="AD35" s="6">
        <f t="shared" si="20"/>
        <v>95.63862354173762</v>
      </c>
      <c r="AE35" s="6">
        <f t="shared" si="20"/>
        <v>154.25584442215742</v>
      </c>
      <c r="AF35" s="15">
        <f t="shared" si="20"/>
        <v>1.0893547733092759</v>
      </c>
      <c r="AG35" s="15">
        <f t="shared" si="4"/>
        <v>0.15425584442215742</v>
      </c>
      <c r="AH35" s="6">
        <f t="shared" si="21"/>
        <v>308.51168884431485</v>
      </c>
      <c r="AI35" s="6">
        <f t="shared" si="21"/>
        <v>191.27724708347523</v>
      </c>
      <c r="AJ35" s="3"/>
      <c r="AK35" s="3"/>
      <c r="AL35" s="3"/>
      <c r="AM35" s="3"/>
      <c r="AN35" s="3"/>
      <c r="AO35" s="3"/>
      <c r="AP35" s="3"/>
    </row>
    <row r="36" spans="1:42" ht="15">
      <c r="A36" s="3" t="s">
        <v>39</v>
      </c>
      <c r="B36" s="14">
        <f>3.25*6.94</f>
        <v>22.555</v>
      </c>
      <c r="C36" s="5">
        <f>SQRT((3.25+14.48)/14.73)</f>
        <v>1.097117125825698</v>
      </c>
      <c r="D36" s="6">
        <f t="shared" si="5"/>
        <v>8.544525902069298</v>
      </c>
      <c r="E36" s="6">
        <f t="shared" si="22"/>
        <v>5.437425574044099</v>
      </c>
      <c r="F36" s="6">
        <f t="shared" si="12"/>
        <v>9.78736603327938</v>
      </c>
      <c r="G36" s="6">
        <f t="shared" si="17"/>
        <v>6.214200656050399</v>
      </c>
      <c r="H36" s="6">
        <f t="shared" si="22"/>
        <v>12.894466361304579</v>
      </c>
      <c r="I36" s="6">
        <f t="shared" si="22"/>
        <v>8.078460852865518</v>
      </c>
      <c r="J36" s="6">
        <f t="shared" si="14"/>
        <v>27.963902952226796</v>
      </c>
      <c r="K36" s="6">
        <f t="shared" si="23"/>
        <v>16.156921705731037</v>
      </c>
      <c r="L36" s="6">
        <f t="shared" si="23"/>
        <v>49.71360524840319</v>
      </c>
      <c r="M36" s="6">
        <f t="shared" si="23"/>
        <v>30.760293247449475</v>
      </c>
      <c r="N36" s="6">
        <f t="shared" si="23"/>
        <v>49.71360524840319</v>
      </c>
      <c r="O36" s="6">
        <f t="shared" si="23"/>
        <v>30.760293247449475</v>
      </c>
      <c r="P36" s="6">
        <f t="shared" si="23"/>
        <v>31.071003280251997</v>
      </c>
      <c r="Q36" s="15">
        <f t="shared" si="23"/>
        <v>0.2742792814564245</v>
      </c>
      <c r="R36" s="15">
        <f t="shared" si="1"/>
        <v>0.031071003280252</v>
      </c>
      <c r="S36" s="6">
        <f t="shared" si="18"/>
        <v>68.35620721655438</v>
      </c>
      <c r="T36" s="6">
        <f t="shared" si="18"/>
        <v>42.256564461142716</v>
      </c>
      <c r="U36" s="6">
        <f t="shared" si="18"/>
        <v>44.91510755485694</v>
      </c>
      <c r="V36" s="15">
        <f t="shared" si="18"/>
        <v>0.4388468503302792</v>
      </c>
      <c r="W36" s="15">
        <f t="shared" si="2"/>
        <v>0.04491510755485694</v>
      </c>
      <c r="X36" s="6">
        <f t="shared" si="19"/>
        <v>93.21300984075597</v>
      </c>
      <c r="Y36" s="6">
        <f t="shared" si="19"/>
        <v>57.79206610126871</v>
      </c>
      <c r="Z36" s="6">
        <f t="shared" si="19"/>
        <v>77.67750820062999</v>
      </c>
      <c r="AA36" s="15">
        <f t="shared" si="19"/>
        <v>0.7131261317867037</v>
      </c>
      <c r="AB36" s="15">
        <f t="shared" si="3"/>
        <v>0.07767750820062999</v>
      </c>
      <c r="AC36" s="6">
        <f t="shared" si="20"/>
        <v>155.35501640125997</v>
      </c>
      <c r="AD36" s="6">
        <f t="shared" si="20"/>
        <v>96.32011016878118</v>
      </c>
      <c r="AE36" s="6">
        <f t="shared" si="20"/>
        <v>155.35501640125997</v>
      </c>
      <c r="AF36" s="15">
        <f t="shared" si="20"/>
        <v>1.097117125825698</v>
      </c>
      <c r="AG36" s="15">
        <f t="shared" si="4"/>
        <v>0.15535501640125998</v>
      </c>
      <c r="AH36" s="6">
        <f t="shared" si="21"/>
        <v>310.71003280251995</v>
      </c>
      <c r="AI36" s="6">
        <f t="shared" si="21"/>
        <v>192.64022033756237</v>
      </c>
      <c r="AJ36" s="3"/>
      <c r="AK36" s="3"/>
      <c r="AL36" s="3"/>
      <c r="AM36" s="3"/>
      <c r="AN36" s="3"/>
      <c r="AO36" s="3"/>
      <c r="AP36" s="3"/>
    </row>
    <row r="37" spans="1:42" ht="15">
      <c r="A37" s="3" t="s">
        <v>40</v>
      </c>
      <c r="B37" s="14">
        <f>3.5*6.94</f>
        <v>24.290000000000003</v>
      </c>
      <c r="C37" s="5">
        <f>SQRT((3.5+14.48)/14.73)</f>
        <v>1.1048249424358492</v>
      </c>
      <c r="D37" s="6">
        <f t="shared" si="5"/>
        <v>8.604555626447421</v>
      </c>
      <c r="E37" s="6">
        <f t="shared" si="22"/>
        <v>5.475626307739269</v>
      </c>
      <c r="F37" s="6">
        <f t="shared" si="12"/>
        <v>9.856127353930685</v>
      </c>
      <c r="G37" s="6">
        <f t="shared" si="17"/>
        <v>6.257858637416308</v>
      </c>
      <c r="H37" s="6">
        <f t="shared" si="22"/>
        <v>12.985056672638839</v>
      </c>
      <c r="I37" s="6">
        <f t="shared" si="22"/>
        <v>8.1352162286412</v>
      </c>
      <c r="J37" s="6">
        <f t="shared" si="14"/>
        <v>28.160363868373384</v>
      </c>
      <c r="K37" s="6">
        <f t="shared" si="23"/>
        <v>16.2704324572824</v>
      </c>
      <c r="L37" s="6">
        <f t="shared" si="23"/>
        <v>50.06286909933046</v>
      </c>
      <c r="M37" s="6">
        <f t="shared" si="23"/>
        <v>30.976400255210724</v>
      </c>
      <c r="N37" s="6">
        <f t="shared" si="23"/>
        <v>50.06286909933046</v>
      </c>
      <c r="O37" s="6">
        <f t="shared" si="23"/>
        <v>30.976400255210724</v>
      </c>
      <c r="P37" s="6">
        <f t="shared" si="23"/>
        <v>31.28929318708154</v>
      </c>
      <c r="Q37" s="15">
        <f t="shared" si="23"/>
        <v>0.2762062356089623</v>
      </c>
      <c r="R37" s="15">
        <f aca="true" t="shared" si="24" ref="R37:R63">$P37/1000</f>
        <v>0.03128929318708154</v>
      </c>
      <c r="S37" s="6">
        <f t="shared" si="18"/>
        <v>68.83644501157939</v>
      </c>
      <c r="T37" s="6">
        <f t="shared" si="18"/>
        <v>42.55343873443089</v>
      </c>
      <c r="U37" s="6">
        <f t="shared" si="18"/>
        <v>45.2306594717022</v>
      </c>
      <c r="V37" s="15">
        <f t="shared" si="18"/>
        <v>0.44192997697433967</v>
      </c>
      <c r="W37" s="15">
        <f aca="true" t="shared" si="25" ref="W37:W63">$U37/1000</f>
        <v>0.0452306594717022</v>
      </c>
      <c r="X37" s="6">
        <f t="shared" si="19"/>
        <v>93.8678795612446</v>
      </c>
      <c r="Y37" s="6">
        <f t="shared" si="19"/>
        <v>58.19808532797166</v>
      </c>
      <c r="Z37" s="6">
        <f t="shared" si="19"/>
        <v>78.22323296770384</v>
      </c>
      <c r="AA37" s="15">
        <f t="shared" si="19"/>
        <v>0.718136212583302</v>
      </c>
      <c r="AB37" s="15">
        <f aca="true" t="shared" si="26" ref="AB37:AB63">$Z37/1000</f>
        <v>0.07822323296770384</v>
      </c>
      <c r="AC37" s="6">
        <f t="shared" si="20"/>
        <v>156.44646593540767</v>
      </c>
      <c r="AD37" s="6">
        <f t="shared" si="20"/>
        <v>96.99680887995277</v>
      </c>
      <c r="AE37" s="6">
        <f t="shared" si="20"/>
        <v>156.44646593540767</v>
      </c>
      <c r="AF37" s="15">
        <f t="shared" si="20"/>
        <v>1.1048249424358492</v>
      </c>
      <c r="AG37" s="15">
        <f aca="true" t="shared" si="27" ref="AG37:AG63">$AE37/1000</f>
        <v>0.15644646593540767</v>
      </c>
      <c r="AH37" s="6">
        <f t="shared" si="21"/>
        <v>312.89293187081535</v>
      </c>
      <c r="AI37" s="6">
        <f t="shared" si="21"/>
        <v>193.99361775990553</v>
      </c>
      <c r="AJ37" s="3"/>
      <c r="AK37" s="3"/>
      <c r="AL37" s="3"/>
      <c r="AM37" s="3"/>
      <c r="AN37" s="3"/>
      <c r="AO37" s="3"/>
      <c r="AP37" s="3"/>
    </row>
    <row r="38" spans="1:42" ht="15">
      <c r="A38" s="3" t="s">
        <v>41</v>
      </c>
      <c r="B38" s="14">
        <f>3.75*6.94</f>
        <v>26.025000000000002</v>
      </c>
      <c r="C38" s="5">
        <f>SQRT((3.75+14.48)/14.73)</f>
        <v>1.1124793566968847</v>
      </c>
      <c r="D38" s="6">
        <f t="shared" si="5"/>
        <v>8.664169444679787</v>
      </c>
      <c r="E38" s="6">
        <f t="shared" si="22"/>
        <v>5.513562373887137</v>
      </c>
      <c r="F38" s="6">
        <f t="shared" si="12"/>
        <v>9.924412272996847</v>
      </c>
      <c r="G38" s="6">
        <f t="shared" si="17"/>
        <v>6.3012141415853</v>
      </c>
      <c r="H38" s="6">
        <f t="shared" si="22"/>
        <v>13.075019343789497</v>
      </c>
      <c r="I38" s="6">
        <f t="shared" si="22"/>
        <v>8.19157838406089</v>
      </c>
      <c r="J38" s="6">
        <f t="shared" si="14"/>
        <v>28.355463637133848</v>
      </c>
      <c r="K38" s="6">
        <f aca="true" t="shared" si="28" ref="K38:Q47">$C38*K$6</f>
        <v>16.38315676812178</v>
      </c>
      <c r="L38" s="6">
        <f t="shared" si="28"/>
        <v>50.4097131326824</v>
      </c>
      <c r="M38" s="6">
        <f t="shared" si="28"/>
        <v>31.191010000847232</v>
      </c>
      <c r="N38" s="6">
        <f t="shared" si="28"/>
        <v>50.4097131326824</v>
      </c>
      <c r="O38" s="6">
        <f t="shared" si="28"/>
        <v>31.191010000847232</v>
      </c>
      <c r="P38" s="6">
        <f t="shared" si="28"/>
        <v>31.5060707079265</v>
      </c>
      <c r="Q38" s="15">
        <f t="shared" si="28"/>
        <v>0.2781198391742212</v>
      </c>
      <c r="R38" s="15">
        <f t="shared" si="24"/>
        <v>0.0315060707079265</v>
      </c>
      <c r="S38" s="6">
        <f t="shared" si="18"/>
        <v>69.3133555574383</v>
      </c>
      <c r="T38" s="6">
        <f t="shared" si="18"/>
        <v>42.84825616278004</v>
      </c>
      <c r="U38" s="6">
        <f t="shared" si="18"/>
        <v>45.54402513860407</v>
      </c>
      <c r="V38" s="15">
        <f t="shared" si="18"/>
        <v>0.4449917426787539</v>
      </c>
      <c r="W38" s="15">
        <f t="shared" si="25"/>
        <v>0.04554402513860407</v>
      </c>
      <c r="X38" s="6">
        <f t="shared" si="19"/>
        <v>94.51821212377949</v>
      </c>
      <c r="Y38" s="6">
        <f t="shared" si="19"/>
        <v>58.60129151674329</v>
      </c>
      <c r="Z38" s="6">
        <f t="shared" si="19"/>
        <v>78.76517676981624</v>
      </c>
      <c r="AA38" s="15">
        <f t="shared" si="19"/>
        <v>0.7231115818529751</v>
      </c>
      <c r="AB38" s="15">
        <f t="shared" si="26"/>
        <v>0.07876517676981623</v>
      </c>
      <c r="AC38" s="6">
        <f t="shared" si="20"/>
        <v>157.53035353963247</v>
      </c>
      <c r="AD38" s="6">
        <f t="shared" si="20"/>
        <v>97.66881919457214</v>
      </c>
      <c r="AE38" s="6">
        <f t="shared" si="20"/>
        <v>157.53035353963247</v>
      </c>
      <c r="AF38" s="15">
        <f t="shared" si="20"/>
        <v>1.1124793566968847</v>
      </c>
      <c r="AG38" s="15">
        <f t="shared" si="27"/>
        <v>0.15753035353963246</v>
      </c>
      <c r="AH38" s="6">
        <f t="shared" si="21"/>
        <v>315.06070707926494</v>
      </c>
      <c r="AI38" s="6">
        <f t="shared" si="21"/>
        <v>195.33763838914427</v>
      </c>
      <c r="AJ38" s="3"/>
      <c r="AK38" s="3"/>
      <c r="AL38" s="3"/>
      <c r="AM38" s="3"/>
      <c r="AN38" s="3"/>
      <c r="AO38" s="3"/>
      <c r="AP38" s="3"/>
    </row>
    <row r="39" spans="1:42" ht="15">
      <c r="A39" s="3" t="s">
        <v>42</v>
      </c>
      <c r="B39" s="14">
        <f>4*6.94</f>
        <v>27.76</v>
      </c>
      <c r="C39" s="5">
        <f>SQRT((4+14.48)/14.73)</f>
        <v>1.120081463432482</v>
      </c>
      <c r="D39" s="6">
        <f t="shared" si="5"/>
        <v>8.723375883430544</v>
      </c>
      <c r="E39" s="6">
        <f t="shared" si="22"/>
        <v>5.55123919854671</v>
      </c>
      <c r="F39" s="6">
        <f t="shared" si="12"/>
        <v>9.99223055738408</v>
      </c>
      <c r="G39" s="6">
        <f t="shared" si="17"/>
        <v>6.344273369767669</v>
      </c>
      <c r="H39" s="6">
        <f t="shared" si="22"/>
        <v>13.164367242267915</v>
      </c>
      <c r="I39" s="6">
        <f t="shared" si="22"/>
        <v>8.24755538069797</v>
      </c>
      <c r="J39" s="6">
        <f t="shared" si="14"/>
        <v>28.549230163954512</v>
      </c>
      <c r="K39" s="6">
        <f t="shared" si="28"/>
        <v>16.49511076139594</v>
      </c>
      <c r="L39" s="6">
        <f t="shared" si="28"/>
        <v>50.754186958141354</v>
      </c>
      <c r="M39" s="6">
        <f t="shared" si="28"/>
        <v>31.40415318034996</v>
      </c>
      <c r="N39" s="6">
        <f t="shared" si="28"/>
        <v>50.754186958141354</v>
      </c>
      <c r="O39" s="6">
        <f t="shared" si="28"/>
        <v>31.40415318034996</v>
      </c>
      <c r="P39" s="6">
        <f t="shared" si="28"/>
        <v>31.721366848838347</v>
      </c>
      <c r="Q39" s="15">
        <f t="shared" si="28"/>
        <v>0.2800203658581205</v>
      </c>
      <c r="R39" s="15">
        <f t="shared" si="24"/>
        <v>0.03172136684883835</v>
      </c>
      <c r="S39" s="6">
        <f t="shared" si="18"/>
        <v>69.78700706744436</v>
      </c>
      <c r="T39" s="6">
        <f t="shared" si="18"/>
        <v>43.14105891442015</v>
      </c>
      <c r="U39" s="6">
        <f t="shared" si="18"/>
        <v>45.85524937677817</v>
      </c>
      <c r="V39" s="15">
        <f t="shared" si="18"/>
        <v>0.44803258537299284</v>
      </c>
      <c r="W39" s="15">
        <f t="shared" si="25"/>
        <v>0.045855249376778165</v>
      </c>
      <c r="X39" s="6">
        <f t="shared" si="19"/>
        <v>95.16410054651503</v>
      </c>
      <c r="Y39" s="6">
        <f t="shared" si="19"/>
        <v>59.00174233883932</v>
      </c>
      <c r="Z39" s="6">
        <f t="shared" si="19"/>
        <v>79.30341712209587</v>
      </c>
      <c r="AA39" s="15">
        <f t="shared" si="19"/>
        <v>0.7280529512311134</v>
      </c>
      <c r="AB39" s="15">
        <f t="shared" si="26"/>
        <v>0.07930341712209586</v>
      </c>
      <c r="AC39" s="6">
        <f t="shared" si="20"/>
        <v>158.60683424419173</v>
      </c>
      <c r="AD39" s="6">
        <f t="shared" si="20"/>
        <v>98.33623723139887</v>
      </c>
      <c r="AE39" s="6">
        <f t="shared" si="20"/>
        <v>158.60683424419173</v>
      </c>
      <c r="AF39" s="15">
        <f t="shared" si="20"/>
        <v>1.120081463432482</v>
      </c>
      <c r="AG39" s="15">
        <f t="shared" si="27"/>
        <v>0.15860683424419172</v>
      </c>
      <c r="AH39" s="6">
        <f t="shared" si="21"/>
        <v>317.21366848838346</v>
      </c>
      <c r="AI39" s="6">
        <f t="shared" si="21"/>
        <v>196.67247446279774</v>
      </c>
      <c r="AJ39" s="3"/>
      <c r="AK39" s="3"/>
      <c r="AL39" s="3"/>
      <c r="AM39" s="3"/>
      <c r="AN39" s="3"/>
      <c r="AO39" s="3"/>
      <c r="AP39" s="3"/>
    </row>
    <row r="40" spans="1:42" ht="15">
      <c r="A40" s="3" t="s">
        <v>43</v>
      </c>
      <c r="B40" s="14">
        <f>4.25*6.94</f>
        <v>29.495</v>
      </c>
      <c r="C40" s="5">
        <f>SQRT((4.25+14.48)/14.73)</f>
        <v>1.1276323205608234</v>
      </c>
      <c r="D40" s="6">
        <f t="shared" si="5"/>
        <v>8.782183181937876</v>
      </c>
      <c r="E40" s="6">
        <f t="shared" si="22"/>
        <v>5.588662024869557</v>
      </c>
      <c r="F40" s="6">
        <f t="shared" si="12"/>
        <v>10.059591644765204</v>
      </c>
      <c r="G40" s="6">
        <f t="shared" si="17"/>
        <v>6.387042314136638</v>
      </c>
      <c r="H40" s="6">
        <f t="shared" si="22"/>
        <v>13.253112801833524</v>
      </c>
      <c r="I40" s="6">
        <f t="shared" si="22"/>
        <v>8.303155008377628</v>
      </c>
      <c r="J40" s="6">
        <f aca="true" t="shared" si="29" ref="J40:J63">$C40*$J$6</f>
        <v>28.74169041361487</v>
      </c>
      <c r="K40" s="6">
        <f t="shared" si="28"/>
        <v>16.606310016755256</v>
      </c>
      <c r="L40" s="6">
        <f t="shared" si="28"/>
        <v>51.0963385130931</v>
      </c>
      <c r="M40" s="6">
        <f t="shared" si="28"/>
        <v>31.615859454976356</v>
      </c>
      <c r="N40" s="6">
        <f t="shared" si="28"/>
        <v>51.0963385130931</v>
      </c>
      <c r="O40" s="6">
        <f t="shared" si="28"/>
        <v>31.615859454976356</v>
      </c>
      <c r="P40" s="6">
        <f t="shared" si="28"/>
        <v>31.93521157068319</v>
      </c>
      <c r="Q40" s="15">
        <f t="shared" si="28"/>
        <v>0.28190808014020585</v>
      </c>
      <c r="R40" s="15">
        <f t="shared" si="24"/>
        <v>0.03193521157068319</v>
      </c>
      <c r="S40" s="6">
        <f t="shared" si="18"/>
        <v>70.25746545550301</v>
      </c>
      <c r="T40" s="6">
        <f t="shared" si="18"/>
        <v>43.431887736129134</v>
      </c>
      <c r="U40" s="6">
        <f t="shared" si="18"/>
        <v>46.164375496558286</v>
      </c>
      <c r="V40" s="15">
        <f t="shared" si="18"/>
        <v>0.4510529282243294</v>
      </c>
      <c r="W40" s="15">
        <f t="shared" si="25"/>
        <v>0.04616437549655829</v>
      </c>
      <c r="X40" s="6">
        <f t="shared" si="19"/>
        <v>95.80563471204955</v>
      </c>
      <c r="Y40" s="6">
        <f t="shared" si="19"/>
        <v>59.39949352147073</v>
      </c>
      <c r="Z40" s="6">
        <f t="shared" si="19"/>
        <v>79.83802892670796</v>
      </c>
      <c r="AA40" s="15">
        <f t="shared" si="19"/>
        <v>0.7329610083645353</v>
      </c>
      <c r="AB40" s="15">
        <f t="shared" si="26"/>
        <v>0.07983802892670797</v>
      </c>
      <c r="AC40" s="6">
        <f t="shared" si="20"/>
        <v>159.67605785341593</v>
      </c>
      <c r="AD40" s="6">
        <f t="shared" si="20"/>
        <v>98.99915586911789</v>
      </c>
      <c r="AE40" s="6">
        <f t="shared" si="20"/>
        <v>159.67605785341593</v>
      </c>
      <c r="AF40" s="15">
        <f t="shared" si="20"/>
        <v>1.1276323205608234</v>
      </c>
      <c r="AG40" s="15">
        <f t="shared" si="27"/>
        <v>0.15967605785341593</v>
      </c>
      <c r="AH40" s="6">
        <f t="shared" si="21"/>
        <v>319.35211570683185</v>
      </c>
      <c r="AI40" s="6">
        <f t="shared" si="21"/>
        <v>197.99831173823577</v>
      </c>
      <c r="AJ40" s="3"/>
      <c r="AK40" s="3"/>
      <c r="AL40" s="3"/>
      <c r="AM40" s="3"/>
      <c r="AN40" s="3"/>
      <c r="AO40" s="3"/>
      <c r="AP40" s="3"/>
    </row>
    <row r="41" spans="1:42" ht="15">
      <c r="A41" s="3" t="s">
        <v>44</v>
      </c>
      <c r="B41" s="14">
        <f>4.5*6.94</f>
        <v>31.23</v>
      </c>
      <c r="C41" s="5">
        <f>SQRT((4.5+14.48)/14.73)</f>
        <v>1.1351329508131303</v>
      </c>
      <c r="D41" s="6">
        <f t="shared" si="5"/>
        <v>8.84059930539821</v>
      </c>
      <c r="E41" s="6">
        <f t="shared" si="22"/>
        <v>5.625835921617043</v>
      </c>
      <c r="F41" s="6">
        <f t="shared" si="12"/>
        <v>10.126504658910678</v>
      </c>
      <c r="G41" s="6">
        <f t="shared" si="17"/>
        <v>6.429526767562335</v>
      </c>
      <c r="H41" s="6">
        <f t="shared" si="22"/>
        <v>13.341268042691846</v>
      </c>
      <c r="I41" s="6">
        <f t="shared" si="22"/>
        <v>8.358384797831034</v>
      </c>
      <c r="J41" s="6">
        <f t="shared" si="29"/>
        <v>28.932870454030507</v>
      </c>
      <c r="K41" s="6">
        <f t="shared" si="28"/>
        <v>16.71676959566207</v>
      </c>
      <c r="L41" s="6">
        <f t="shared" si="28"/>
        <v>51.43621414049868</v>
      </c>
      <c r="M41" s="6">
        <f t="shared" si="28"/>
        <v>31.826157499433556</v>
      </c>
      <c r="N41" s="6">
        <f t="shared" si="28"/>
        <v>51.43621414049868</v>
      </c>
      <c r="O41" s="6">
        <f t="shared" si="28"/>
        <v>31.826157499433556</v>
      </c>
      <c r="P41" s="6">
        <f t="shared" si="28"/>
        <v>32.147633837811675</v>
      </c>
      <c r="Q41" s="15">
        <f t="shared" si="28"/>
        <v>0.28378323770328256</v>
      </c>
      <c r="R41" s="15">
        <f t="shared" si="24"/>
        <v>0.032147633837811676</v>
      </c>
      <c r="S41" s="6">
        <f t="shared" si="18"/>
        <v>70.72479444318569</v>
      </c>
      <c r="T41" s="6">
        <f t="shared" si="18"/>
        <v>43.72078201942388</v>
      </c>
      <c r="U41" s="6">
        <f t="shared" si="18"/>
        <v>46.47144536775187</v>
      </c>
      <c r="V41" s="15">
        <f t="shared" si="18"/>
        <v>0.4540531803252521</v>
      </c>
      <c r="W41" s="15">
        <f t="shared" si="25"/>
        <v>0.04647144536775187</v>
      </c>
      <c r="X41" s="6">
        <f t="shared" si="19"/>
        <v>96.44290151343502</v>
      </c>
      <c r="Y41" s="6">
        <f t="shared" si="19"/>
        <v>59.79459893832971</v>
      </c>
      <c r="Z41" s="6">
        <f t="shared" si="19"/>
        <v>80.36908459452918</v>
      </c>
      <c r="AA41" s="15">
        <f t="shared" si="19"/>
        <v>0.7378364180285347</v>
      </c>
      <c r="AB41" s="15">
        <f t="shared" si="26"/>
        <v>0.08036908459452918</v>
      </c>
      <c r="AC41" s="6">
        <f t="shared" si="20"/>
        <v>160.73816918905837</v>
      </c>
      <c r="AD41" s="6">
        <f t="shared" si="20"/>
        <v>99.6576648972162</v>
      </c>
      <c r="AE41" s="6">
        <f t="shared" si="20"/>
        <v>160.73816918905837</v>
      </c>
      <c r="AF41" s="15">
        <f t="shared" si="20"/>
        <v>1.1351329508131303</v>
      </c>
      <c r="AG41" s="15">
        <f t="shared" si="27"/>
        <v>0.16073816918905837</v>
      </c>
      <c r="AH41" s="6">
        <f t="shared" si="21"/>
        <v>321.47633837811674</v>
      </c>
      <c r="AI41" s="6">
        <f t="shared" si="21"/>
        <v>199.3153297944324</v>
      </c>
      <c r="AJ41" s="3"/>
      <c r="AK41" s="3"/>
      <c r="AL41" s="3"/>
      <c r="AM41" s="3"/>
      <c r="AN41" s="3"/>
      <c r="AO41" s="3"/>
      <c r="AP41" s="3"/>
    </row>
    <row r="42" spans="1:42" ht="15">
      <c r="A42" s="3" t="s">
        <v>45</v>
      </c>
      <c r="B42" s="14">
        <f>4.75*6.94</f>
        <v>32.965</v>
      </c>
      <c r="C42" s="5">
        <f>SQRT((4.75+14.48)/14.73)</f>
        <v>1.142584343350661</v>
      </c>
      <c r="D42" s="6">
        <f t="shared" si="5"/>
        <v>8.898631957559665</v>
      </c>
      <c r="E42" s="6">
        <f t="shared" si="22"/>
        <v>5.6627657911743325</v>
      </c>
      <c r="F42" s="6">
        <f t="shared" si="12"/>
        <v>10.192978424113797</v>
      </c>
      <c r="G42" s="6">
        <f t="shared" si="17"/>
        <v>6.4717323327706655</v>
      </c>
      <c r="H42" s="6">
        <f t="shared" si="22"/>
        <v>13.428844590499132</v>
      </c>
      <c r="I42" s="6">
        <f t="shared" si="22"/>
        <v>8.413252032601864</v>
      </c>
      <c r="J42" s="6">
        <f t="shared" si="29"/>
        <v>29.122795497467994</v>
      </c>
      <c r="K42" s="6">
        <f t="shared" si="28"/>
        <v>16.82650406520373</v>
      </c>
      <c r="L42" s="6">
        <f t="shared" si="28"/>
        <v>51.773858662165324</v>
      </c>
      <c r="M42" s="6">
        <f t="shared" si="28"/>
        <v>32.0350750472148</v>
      </c>
      <c r="N42" s="6">
        <f t="shared" si="28"/>
        <v>51.773858662165324</v>
      </c>
      <c r="O42" s="6">
        <f t="shared" si="28"/>
        <v>32.0350750472148</v>
      </c>
      <c r="P42" s="6">
        <f t="shared" si="28"/>
        <v>32.358661663853326</v>
      </c>
      <c r="Q42" s="15">
        <f t="shared" si="28"/>
        <v>0.28564608583766526</v>
      </c>
      <c r="R42" s="15">
        <f t="shared" si="24"/>
        <v>0.03235866166385332</v>
      </c>
      <c r="S42" s="6">
        <f t="shared" si="18"/>
        <v>71.18905566047732</v>
      </c>
      <c r="T42" s="6">
        <f t="shared" si="18"/>
        <v>44.00777986284053</v>
      </c>
      <c r="U42" s="6">
        <f t="shared" si="18"/>
        <v>46.77649948583864</v>
      </c>
      <c r="V42" s="15">
        <f t="shared" si="18"/>
        <v>0.4570337373402644</v>
      </c>
      <c r="W42" s="15">
        <f t="shared" si="25"/>
        <v>0.04677649948583864</v>
      </c>
      <c r="X42" s="6">
        <f t="shared" si="19"/>
        <v>97.07598499155998</v>
      </c>
      <c r="Y42" s="6">
        <f t="shared" si="19"/>
        <v>60.18711069476719</v>
      </c>
      <c r="Z42" s="6">
        <f t="shared" si="19"/>
        <v>80.89665415963331</v>
      </c>
      <c r="AA42" s="15">
        <f t="shared" si="19"/>
        <v>0.7426798231779297</v>
      </c>
      <c r="AB42" s="15">
        <f t="shared" si="26"/>
        <v>0.08089665415963332</v>
      </c>
      <c r="AC42" s="6">
        <f t="shared" si="20"/>
        <v>161.79330831926663</v>
      </c>
      <c r="AD42" s="6">
        <f t="shared" si="20"/>
        <v>100.31185115794531</v>
      </c>
      <c r="AE42" s="6">
        <f t="shared" si="20"/>
        <v>161.79330831926663</v>
      </c>
      <c r="AF42" s="15">
        <f t="shared" si="20"/>
        <v>1.142584343350661</v>
      </c>
      <c r="AG42" s="15">
        <f t="shared" si="27"/>
        <v>0.16179330831926664</v>
      </c>
      <c r="AH42" s="6">
        <f t="shared" si="21"/>
        <v>323.58661663853326</v>
      </c>
      <c r="AI42" s="6">
        <f t="shared" si="21"/>
        <v>200.62370231589063</v>
      </c>
      <c r="AJ42" s="3"/>
      <c r="AK42" s="3"/>
      <c r="AL42" s="3"/>
      <c r="AM42" s="3"/>
      <c r="AN42" s="3"/>
      <c r="AO42" s="3"/>
      <c r="AP42" s="3"/>
    </row>
    <row r="43" spans="1:42" ht="18">
      <c r="A43" s="7" t="s">
        <v>46</v>
      </c>
      <c r="B43" s="17">
        <f>5*6.94</f>
        <v>34.7</v>
      </c>
      <c r="C43" s="5">
        <f>SQRT((5+14.48)/14.73)</f>
        <v>1.1499874552874034</v>
      </c>
      <c r="D43" s="6">
        <f t="shared" si="5"/>
        <v>8.956288592581023</v>
      </c>
      <c r="E43" s="6">
        <f t="shared" si="22"/>
        <v>5.699456377097015</v>
      </c>
      <c r="F43" s="6">
        <f t="shared" si="12"/>
        <v>10.259021478774626</v>
      </c>
      <c r="G43" s="6">
        <f t="shared" si="17"/>
        <v>6.513664430968017</v>
      </c>
      <c r="H43" s="6">
        <f t="shared" si="22"/>
        <v>13.515853694258636</v>
      </c>
      <c r="I43" s="6">
        <f t="shared" si="22"/>
        <v>8.467763760258421</v>
      </c>
      <c r="J43" s="6">
        <f t="shared" si="29"/>
        <v>29.311489939356075</v>
      </c>
      <c r="K43" s="6">
        <f t="shared" si="28"/>
        <v>16.935527520516843</v>
      </c>
      <c r="L43" s="6">
        <f t="shared" si="28"/>
        <v>52.10931544774414</v>
      </c>
      <c r="M43" s="6">
        <f t="shared" si="28"/>
        <v>32.24263893329168</v>
      </c>
      <c r="N43" s="6">
        <f t="shared" si="28"/>
        <v>52.10931544774414</v>
      </c>
      <c r="O43" s="6">
        <f t="shared" si="28"/>
        <v>32.24263893329168</v>
      </c>
      <c r="P43" s="6">
        <f t="shared" si="28"/>
        <v>32.56832215484008</v>
      </c>
      <c r="Q43" s="15">
        <f t="shared" si="28"/>
        <v>0.28749686382185086</v>
      </c>
      <c r="R43" s="15">
        <f t="shared" si="24"/>
        <v>0.03256832215484008</v>
      </c>
      <c r="S43" s="6">
        <f t="shared" si="18"/>
        <v>71.65030874064819</v>
      </c>
      <c r="T43" s="6">
        <f t="shared" si="18"/>
        <v>44.292918130582514</v>
      </c>
      <c r="U43" s="6">
        <f t="shared" si="18"/>
        <v>47.07957703430839</v>
      </c>
      <c r="V43" s="15">
        <f t="shared" si="18"/>
        <v>0.45999498211496137</v>
      </c>
      <c r="W43" s="15">
        <f t="shared" si="25"/>
        <v>0.047079577034308394</v>
      </c>
      <c r="X43" s="6">
        <f t="shared" si="19"/>
        <v>97.70496646452024</v>
      </c>
      <c r="Y43" s="6">
        <f t="shared" si="19"/>
        <v>60.57707920800256</v>
      </c>
      <c r="Z43" s="6">
        <f t="shared" si="19"/>
        <v>81.4208053871002</v>
      </c>
      <c r="AA43" s="15">
        <f t="shared" si="19"/>
        <v>0.7474918459368123</v>
      </c>
      <c r="AB43" s="15">
        <f t="shared" si="26"/>
        <v>0.0814208053871002</v>
      </c>
      <c r="AC43" s="6">
        <f t="shared" si="20"/>
        <v>162.8416107742004</v>
      </c>
      <c r="AD43" s="6">
        <f t="shared" si="20"/>
        <v>100.96179868000426</v>
      </c>
      <c r="AE43" s="6">
        <f t="shared" si="20"/>
        <v>162.8416107742004</v>
      </c>
      <c r="AF43" s="15">
        <f t="shared" si="20"/>
        <v>1.1499874552874034</v>
      </c>
      <c r="AG43" s="15">
        <f t="shared" si="27"/>
        <v>0.1628416107742004</v>
      </c>
      <c r="AH43" s="6">
        <f t="shared" si="21"/>
        <v>325.6832215484008</v>
      </c>
      <c r="AI43" s="6">
        <f t="shared" si="21"/>
        <v>201.92359736000853</v>
      </c>
      <c r="AJ43" s="3"/>
      <c r="AK43" s="3"/>
      <c r="AL43" s="3"/>
      <c r="AM43" s="3"/>
      <c r="AN43" s="3"/>
      <c r="AO43" s="3"/>
      <c r="AP43" s="3"/>
    </row>
    <row r="44" spans="1:42" ht="15">
      <c r="A44" s="3" t="s">
        <v>73</v>
      </c>
      <c r="B44" s="14">
        <f>5.04*6.94</f>
        <v>34.9776</v>
      </c>
      <c r="C44" s="5">
        <f>SQRT((5+14.48)/14.73)</f>
        <v>1.1499874552874034</v>
      </c>
      <c r="D44" s="6">
        <f t="shared" si="5"/>
        <v>8.956288592581023</v>
      </c>
      <c r="E44" s="6">
        <f t="shared" si="22"/>
        <v>5.699456377097015</v>
      </c>
      <c r="F44" s="6">
        <f t="shared" si="12"/>
        <v>10.259021478774626</v>
      </c>
      <c r="G44" s="6">
        <f t="shared" si="17"/>
        <v>6.513664430968017</v>
      </c>
      <c r="H44" s="6">
        <f t="shared" si="22"/>
        <v>13.515853694258636</v>
      </c>
      <c r="I44" s="6">
        <f t="shared" si="22"/>
        <v>8.467763760258421</v>
      </c>
      <c r="J44" s="6">
        <f t="shared" si="29"/>
        <v>29.311489939356075</v>
      </c>
      <c r="K44" s="6">
        <f t="shared" si="28"/>
        <v>16.935527520516843</v>
      </c>
      <c r="L44" s="6">
        <f t="shared" si="28"/>
        <v>52.10931544774414</v>
      </c>
      <c r="M44" s="6">
        <f t="shared" si="28"/>
        <v>32.24263893329168</v>
      </c>
      <c r="N44" s="6">
        <f t="shared" si="28"/>
        <v>52.10931544774414</v>
      </c>
      <c r="O44" s="6">
        <f t="shared" si="28"/>
        <v>32.24263893329168</v>
      </c>
      <c r="P44" s="6">
        <f t="shared" si="28"/>
        <v>32.56832215484008</v>
      </c>
      <c r="Q44" s="15">
        <f t="shared" si="28"/>
        <v>0.28749686382185086</v>
      </c>
      <c r="R44" s="15">
        <f t="shared" si="24"/>
        <v>0.03256832215484008</v>
      </c>
      <c r="S44" s="6">
        <f t="shared" si="18"/>
        <v>71.65030874064819</v>
      </c>
      <c r="T44" s="6">
        <f t="shared" si="18"/>
        <v>44.292918130582514</v>
      </c>
      <c r="U44" s="6">
        <f t="shared" si="18"/>
        <v>47.07957703430839</v>
      </c>
      <c r="V44" s="15">
        <f t="shared" si="18"/>
        <v>0.45999498211496137</v>
      </c>
      <c r="W44" s="15">
        <f t="shared" si="25"/>
        <v>0.047079577034308394</v>
      </c>
      <c r="X44" s="6">
        <f t="shared" si="19"/>
        <v>97.70496646452024</v>
      </c>
      <c r="Y44" s="6">
        <f t="shared" si="19"/>
        <v>60.57707920800256</v>
      </c>
      <c r="Z44" s="6">
        <f t="shared" si="19"/>
        <v>81.4208053871002</v>
      </c>
      <c r="AA44" s="15">
        <f t="shared" si="19"/>
        <v>0.7474918459368123</v>
      </c>
      <c r="AB44" s="15">
        <f t="shared" si="26"/>
        <v>0.0814208053871002</v>
      </c>
      <c r="AC44" s="6">
        <f t="shared" si="20"/>
        <v>162.8416107742004</v>
      </c>
      <c r="AD44" s="6">
        <f t="shared" si="20"/>
        <v>100.96179868000426</v>
      </c>
      <c r="AE44" s="6">
        <f t="shared" si="20"/>
        <v>162.8416107742004</v>
      </c>
      <c r="AF44" s="15">
        <f t="shared" si="20"/>
        <v>1.1499874552874034</v>
      </c>
      <c r="AG44" s="15">
        <f t="shared" si="27"/>
        <v>0.1628416107742004</v>
      </c>
      <c r="AH44" s="6">
        <f t="shared" si="21"/>
        <v>325.6832215484008</v>
      </c>
      <c r="AI44" s="6">
        <f t="shared" si="21"/>
        <v>201.92359736000853</v>
      </c>
      <c r="AJ44" s="3"/>
      <c r="AK44" s="3"/>
      <c r="AL44" s="3"/>
      <c r="AM44" s="3"/>
      <c r="AN44" s="3"/>
      <c r="AO44" s="3"/>
      <c r="AP44" s="3"/>
    </row>
    <row r="45" spans="1:42" ht="15">
      <c r="A45" s="3" t="s">
        <v>47</v>
      </c>
      <c r="B45" s="14">
        <f>6*6.94</f>
        <v>41.64</v>
      </c>
      <c r="C45" s="5">
        <f>SQRT((6+14.48)/14.73)</f>
        <v>1.1791351957734721</v>
      </c>
      <c r="D45" s="6">
        <f t="shared" si="5"/>
        <v>9.183295917238878</v>
      </c>
      <c r="E45" s="6">
        <f t="shared" si="22"/>
        <v>5.843915583697468</v>
      </c>
      <c r="F45" s="6">
        <f t="shared" si="12"/>
        <v>10.519048050655442</v>
      </c>
      <c r="G45" s="6">
        <f t="shared" si="17"/>
        <v>6.6787606670828215</v>
      </c>
      <c r="H45" s="6">
        <f t="shared" si="22"/>
        <v>13.858428384196856</v>
      </c>
      <c r="I45" s="6">
        <f t="shared" si="22"/>
        <v>8.682388867207667</v>
      </c>
      <c r="J45" s="6">
        <f t="shared" si="29"/>
        <v>30.054423001872696</v>
      </c>
      <c r="K45" s="6">
        <f t="shared" si="28"/>
        <v>17.364777734415334</v>
      </c>
      <c r="L45" s="6">
        <f t="shared" si="28"/>
        <v>53.43008533666257</v>
      </c>
      <c r="M45" s="6">
        <f t="shared" si="28"/>
        <v>33.05986530205997</v>
      </c>
      <c r="N45" s="6">
        <f t="shared" si="28"/>
        <v>53.43008533666257</v>
      </c>
      <c r="O45" s="6">
        <f t="shared" si="28"/>
        <v>33.05986530205997</v>
      </c>
      <c r="P45" s="6">
        <f t="shared" si="28"/>
        <v>33.393803335414106</v>
      </c>
      <c r="Q45" s="15">
        <f t="shared" si="28"/>
        <v>0.29478379894336804</v>
      </c>
      <c r="R45" s="15">
        <f t="shared" si="24"/>
        <v>0.033393803335414106</v>
      </c>
      <c r="S45" s="6">
        <f t="shared" si="18"/>
        <v>73.46636733791104</v>
      </c>
      <c r="T45" s="6">
        <f t="shared" si="18"/>
        <v>45.41557253616318</v>
      </c>
      <c r="U45" s="6">
        <f t="shared" si="18"/>
        <v>48.27286248040654</v>
      </c>
      <c r="V45" s="15">
        <f t="shared" si="18"/>
        <v>0.4716540783093889</v>
      </c>
      <c r="W45" s="15">
        <f t="shared" si="25"/>
        <v>0.04827286248040654</v>
      </c>
      <c r="X45" s="6">
        <f t="shared" si="19"/>
        <v>100.18141000624232</v>
      </c>
      <c r="Y45" s="6">
        <f t="shared" si="19"/>
        <v>62.112474203870235</v>
      </c>
      <c r="Z45" s="6">
        <f t="shared" si="19"/>
        <v>83.48450833853526</v>
      </c>
      <c r="AA45" s="15">
        <f t="shared" si="19"/>
        <v>0.7664378772527569</v>
      </c>
      <c r="AB45" s="15">
        <f t="shared" si="26"/>
        <v>0.08348450833853527</v>
      </c>
      <c r="AC45" s="6">
        <f t="shared" si="20"/>
        <v>166.96901667707053</v>
      </c>
      <c r="AD45" s="6">
        <f t="shared" si="20"/>
        <v>103.52079033978373</v>
      </c>
      <c r="AE45" s="6">
        <f t="shared" si="20"/>
        <v>166.96901667707053</v>
      </c>
      <c r="AF45" s="15">
        <f t="shared" si="20"/>
        <v>1.1791351957734721</v>
      </c>
      <c r="AG45" s="15">
        <f t="shared" si="27"/>
        <v>0.16696901667707054</v>
      </c>
      <c r="AH45" s="6">
        <f t="shared" si="21"/>
        <v>333.93803335414106</v>
      </c>
      <c r="AI45" s="6">
        <f t="shared" si="21"/>
        <v>207.04158067956746</v>
      </c>
      <c r="AJ45" s="3"/>
      <c r="AK45" s="3"/>
      <c r="AL45" s="3"/>
      <c r="AM45" s="3"/>
      <c r="AN45" s="3"/>
      <c r="AO45" s="3"/>
      <c r="AP45" s="3"/>
    </row>
    <row r="46" spans="1:42" ht="15">
      <c r="A46" s="3" t="s">
        <v>48</v>
      </c>
      <c r="B46" s="14">
        <f>7*6.94</f>
        <v>48.580000000000005</v>
      </c>
      <c r="C46" s="5">
        <f>SQRT((7+14.48)/14.73)</f>
        <v>1.2075795926170216</v>
      </c>
      <c r="D46" s="6">
        <f t="shared" si="5"/>
        <v>9.404825487671507</v>
      </c>
      <c r="E46" s="6">
        <f t="shared" si="22"/>
        <v>5.98488894670005</v>
      </c>
      <c r="F46" s="6">
        <f t="shared" si="12"/>
        <v>10.77280010406009</v>
      </c>
      <c r="G46" s="6">
        <f t="shared" si="17"/>
        <v>6.8398730819429145</v>
      </c>
      <c r="H46" s="6">
        <f t="shared" si="22"/>
        <v>14.192736645031548</v>
      </c>
      <c r="I46" s="6">
        <f t="shared" si="22"/>
        <v>8.891835006525788</v>
      </c>
      <c r="J46" s="6">
        <f t="shared" si="29"/>
        <v>30.779428868743114</v>
      </c>
      <c r="K46" s="6">
        <f t="shared" si="28"/>
        <v>17.783670013051577</v>
      </c>
      <c r="L46" s="6">
        <f t="shared" si="28"/>
        <v>54.718984655543316</v>
      </c>
      <c r="M46" s="6">
        <f t="shared" si="28"/>
        <v>33.85737175561743</v>
      </c>
      <c r="N46" s="6">
        <f t="shared" si="28"/>
        <v>54.718984655543316</v>
      </c>
      <c r="O46" s="6">
        <f t="shared" si="28"/>
        <v>33.85737175561743</v>
      </c>
      <c r="P46" s="6">
        <f t="shared" si="28"/>
        <v>34.199365409714574</v>
      </c>
      <c r="Q46" s="15">
        <f t="shared" si="28"/>
        <v>0.3018948981542554</v>
      </c>
      <c r="R46" s="15">
        <f t="shared" si="24"/>
        <v>0.03419936540971457</v>
      </c>
      <c r="S46" s="6">
        <f t="shared" si="18"/>
        <v>75.23860390137206</v>
      </c>
      <c r="T46" s="6">
        <f t="shared" si="18"/>
        <v>46.51113695721182</v>
      </c>
      <c r="U46" s="6">
        <f t="shared" si="18"/>
        <v>49.43735359396886</v>
      </c>
      <c r="V46" s="15">
        <f t="shared" si="18"/>
        <v>0.4830318370468087</v>
      </c>
      <c r="W46" s="15">
        <f t="shared" si="25"/>
        <v>0.04943735359396886</v>
      </c>
      <c r="X46" s="6">
        <f t="shared" si="19"/>
        <v>102.5980962291437</v>
      </c>
      <c r="Y46" s="6">
        <f t="shared" si="19"/>
        <v>63.610819662069105</v>
      </c>
      <c r="Z46" s="6">
        <f t="shared" si="19"/>
        <v>85.49841352428642</v>
      </c>
      <c r="AA46" s="15">
        <f t="shared" si="19"/>
        <v>0.784926735201064</v>
      </c>
      <c r="AB46" s="15">
        <f t="shared" si="26"/>
        <v>0.08549841352428642</v>
      </c>
      <c r="AC46" s="6">
        <f t="shared" si="20"/>
        <v>170.99682704857284</v>
      </c>
      <c r="AD46" s="6">
        <f t="shared" si="20"/>
        <v>106.01803277011517</v>
      </c>
      <c r="AE46" s="6">
        <f t="shared" si="20"/>
        <v>170.99682704857284</v>
      </c>
      <c r="AF46" s="15">
        <f t="shared" si="20"/>
        <v>1.2075795926170216</v>
      </c>
      <c r="AG46" s="15">
        <f t="shared" si="27"/>
        <v>0.17099682704857283</v>
      </c>
      <c r="AH46" s="6">
        <f t="shared" si="21"/>
        <v>341.9936540971457</v>
      </c>
      <c r="AI46" s="6">
        <f t="shared" si="21"/>
        <v>212.03606554023034</v>
      </c>
      <c r="AJ46" s="3"/>
      <c r="AK46" s="3"/>
      <c r="AL46" s="3"/>
      <c r="AM46" s="3"/>
      <c r="AN46" s="3"/>
      <c r="AO46" s="3"/>
      <c r="AP46" s="3"/>
    </row>
    <row r="47" spans="1:42" ht="15">
      <c r="A47" s="3" t="s">
        <v>49</v>
      </c>
      <c r="B47" s="14">
        <f>8*6.94</f>
        <v>55.52</v>
      </c>
      <c r="C47" s="5">
        <f>SQRT((8+14.48)/14.73)</f>
        <v>1.235369230270221</v>
      </c>
      <c r="D47" s="6">
        <f t="shared" si="5"/>
        <v>9.621255687462781</v>
      </c>
      <c r="E47" s="6">
        <f t="shared" si="22"/>
        <v>6.122617255658133</v>
      </c>
      <c r="F47" s="6">
        <f t="shared" si="12"/>
        <v>11.020711060184638</v>
      </c>
      <c r="G47" s="6">
        <f t="shared" si="17"/>
        <v>6.9972768636092955</v>
      </c>
      <c r="H47" s="6">
        <f t="shared" si="22"/>
        <v>14.519349491989287</v>
      </c>
      <c r="I47" s="6">
        <f t="shared" si="22"/>
        <v>9.096459922692082</v>
      </c>
      <c r="J47" s="6">
        <f t="shared" si="29"/>
        <v>31.487745886241825</v>
      </c>
      <c r="K47" s="6">
        <f t="shared" si="28"/>
        <v>18.192919845384164</v>
      </c>
      <c r="L47" s="6">
        <f t="shared" si="28"/>
        <v>55.978214908874364</v>
      </c>
      <c r="M47" s="6">
        <f t="shared" si="28"/>
        <v>34.63652047486601</v>
      </c>
      <c r="N47" s="6">
        <f t="shared" si="28"/>
        <v>55.978214908874364</v>
      </c>
      <c r="O47" s="6">
        <f t="shared" si="28"/>
        <v>34.63652047486601</v>
      </c>
      <c r="P47" s="6">
        <f t="shared" si="28"/>
        <v>34.986384318046476</v>
      </c>
      <c r="Q47" s="15">
        <f t="shared" si="28"/>
        <v>0.30884230756755526</v>
      </c>
      <c r="R47" s="15">
        <f t="shared" si="24"/>
        <v>0.03498638431804647</v>
      </c>
      <c r="S47" s="6">
        <f aca="true" t="shared" si="30" ref="S47:V63">$C47*S$6</f>
        <v>76.97004549970224</v>
      </c>
      <c r="T47" s="6">
        <f t="shared" si="30"/>
        <v>47.5814826725432</v>
      </c>
      <c r="U47" s="6">
        <f t="shared" si="30"/>
        <v>50.57503938404763</v>
      </c>
      <c r="V47" s="15">
        <f t="shared" si="30"/>
        <v>0.49414769210808845</v>
      </c>
      <c r="W47" s="15">
        <f t="shared" si="25"/>
        <v>0.05057503938404763</v>
      </c>
      <c r="X47" s="6">
        <f aca="true" t="shared" si="31" ref="X47:AA63">$C47*X$6</f>
        <v>104.95915295413941</v>
      </c>
      <c r="Y47" s="6">
        <f t="shared" si="31"/>
        <v>65.07467483156644</v>
      </c>
      <c r="Z47" s="6">
        <f t="shared" si="31"/>
        <v>87.46596079511617</v>
      </c>
      <c r="AA47" s="15">
        <f t="shared" si="31"/>
        <v>0.8029899996756437</v>
      </c>
      <c r="AB47" s="15">
        <f t="shared" si="26"/>
        <v>0.08746596079511618</v>
      </c>
      <c r="AC47" s="6">
        <f aca="true" t="shared" si="32" ref="AC47:AF63">$C47*AC$6</f>
        <v>174.93192159023235</v>
      </c>
      <c r="AD47" s="6">
        <f t="shared" si="32"/>
        <v>108.45779138594406</v>
      </c>
      <c r="AE47" s="6">
        <f t="shared" si="32"/>
        <v>174.93192159023235</v>
      </c>
      <c r="AF47" s="15">
        <f t="shared" si="32"/>
        <v>1.235369230270221</v>
      </c>
      <c r="AG47" s="15">
        <f t="shared" si="27"/>
        <v>0.17493192159023235</v>
      </c>
      <c r="AH47" s="6">
        <f aca="true" t="shared" si="33" ref="AH47:AI63">$C47*AH$6</f>
        <v>349.8638431804647</v>
      </c>
      <c r="AI47" s="6">
        <f t="shared" si="33"/>
        <v>216.91558277188813</v>
      </c>
      <c r="AJ47" s="3"/>
      <c r="AK47" s="3"/>
      <c r="AL47" s="3"/>
      <c r="AM47" s="3"/>
      <c r="AN47" s="3"/>
      <c r="AO47" s="3"/>
      <c r="AP47" s="3"/>
    </row>
    <row r="48" spans="1:42" ht="15">
      <c r="A48" s="3" t="s">
        <v>50</v>
      </c>
      <c r="B48" s="14">
        <f>9*6.94</f>
        <v>62.46</v>
      </c>
      <c r="C48" s="5">
        <f>SQRT((9+14.48)/14.73)</f>
        <v>1.2625473447327769</v>
      </c>
      <c r="D48" s="6">
        <f t="shared" si="5"/>
        <v>9.832923245582373</v>
      </c>
      <c r="E48" s="6">
        <f t="shared" si="22"/>
        <v>6.257314792643329</v>
      </c>
      <c r="F48" s="6">
        <f t="shared" si="12"/>
        <v>11.263166626757993</v>
      </c>
      <c r="G48" s="6">
        <f t="shared" si="17"/>
        <v>7.151216905878091</v>
      </c>
      <c r="H48" s="6">
        <f t="shared" si="22"/>
        <v>14.838775079697038</v>
      </c>
      <c r="I48" s="6">
        <f t="shared" si="22"/>
        <v>9.296581977641516</v>
      </c>
      <c r="J48" s="6">
        <f t="shared" si="29"/>
        <v>32.180476076451406</v>
      </c>
      <c r="K48" s="6">
        <f aca="true" t="shared" si="34" ref="K48:Q59">$C48*K$6</f>
        <v>18.593163955283032</v>
      </c>
      <c r="L48" s="6">
        <f t="shared" si="34"/>
        <v>57.209735247024724</v>
      </c>
      <c r="M48" s="6">
        <f t="shared" si="34"/>
        <v>35.398523684096546</v>
      </c>
      <c r="N48" s="6">
        <f t="shared" si="34"/>
        <v>57.209735247024724</v>
      </c>
      <c r="O48" s="6">
        <f t="shared" si="34"/>
        <v>35.398523684096546</v>
      </c>
      <c r="P48" s="6">
        <f t="shared" si="34"/>
        <v>35.75608452939045</v>
      </c>
      <c r="Q48" s="15">
        <f t="shared" si="34"/>
        <v>0.3156368361831942</v>
      </c>
      <c r="R48" s="15">
        <f t="shared" si="24"/>
        <v>0.03575608452939045</v>
      </c>
      <c r="S48" s="6">
        <f t="shared" si="30"/>
        <v>78.66338596465899</v>
      </c>
      <c r="T48" s="6">
        <f t="shared" si="30"/>
        <v>48.628274959971016</v>
      </c>
      <c r="U48" s="6">
        <f t="shared" si="30"/>
        <v>51.68768989828073</v>
      </c>
      <c r="V48" s="15">
        <f t="shared" si="30"/>
        <v>0.5050189378931108</v>
      </c>
      <c r="W48" s="15">
        <f t="shared" si="25"/>
        <v>0.05168768989828073</v>
      </c>
      <c r="X48" s="6">
        <f t="shared" si="31"/>
        <v>107.26825358817135</v>
      </c>
      <c r="Y48" s="6">
        <f t="shared" si="31"/>
        <v>66.50631722466623</v>
      </c>
      <c r="Z48" s="6">
        <f t="shared" si="31"/>
        <v>89.39021132347612</v>
      </c>
      <c r="AA48" s="15">
        <f t="shared" si="31"/>
        <v>0.820655774076305</v>
      </c>
      <c r="AB48" s="15">
        <f t="shared" si="26"/>
        <v>0.08939021132347612</v>
      </c>
      <c r="AC48" s="6">
        <f t="shared" si="32"/>
        <v>178.78042264695225</v>
      </c>
      <c r="AD48" s="6">
        <f t="shared" si="32"/>
        <v>110.8438620411104</v>
      </c>
      <c r="AE48" s="6">
        <f t="shared" si="32"/>
        <v>178.78042264695225</v>
      </c>
      <c r="AF48" s="15">
        <f t="shared" si="32"/>
        <v>1.2625473447327769</v>
      </c>
      <c r="AG48" s="15">
        <f t="shared" si="27"/>
        <v>0.17878042264695224</v>
      </c>
      <c r="AH48" s="6">
        <f t="shared" si="33"/>
        <v>357.5608452939045</v>
      </c>
      <c r="AI48" s="6">
        <f t="shared" si="33"/>
        <v>221.6877240822208</v>
      </c>
      <c r="AJ48" s="3"/>
      <c r="AK48" s="3"/>
      <c r="AL48" s="3"/>
      <c r="AM48" s="3"/>
      <c r="AN48" s="3"/>
      <c r="AO48" s="3"/>
      <c r="AP48" s="3"/>
    </row>
    <row r="49" spans="1:42" ht="18">
      <c r="A49" s="7" t="s">
        <v>51</v>
      </c>
      <c r="B49" s="17">
        <f>10*6.94</f>
        <v>69.4</v>
      </c>
      <c r="C49" s="5">
        <f>SQRT((10+14.48)/14.73)</f>
        <v>1.289152613263896</v>
      </c>
      <c r="D49" s="6">
        <f t="shared" si="5"/>
        <v>10.040129386790467</v>
      </c>
      <c r="E49" s="6">
        <f t="shared" si="22"/>
        <v>6.3891732461393875</v>
      </c>
      <c r="F49" s="6">
        <f t="shared" si="12"/>
        <v>11.500511843050898</v>
      </c>
      <c r="G49" s="6">
        <f t="shared" si="17"/>
        <v>7.301912281302158</v>
      </c>
      <c r="H49" s="6">
        <f t="shared" si="22"/>
        <v>15.151467983701977</v>
      </c>
      <c r="I49" s="6">
        <f t="shared" si="22"/>
        <v>9.492485965692804</v>
      </c>
      <c r="J49" s="6">
        <f t="shared" si="29"/>
        <v>32.85860526585971</v>
      </c>
      <c r="K49" s="6">
        <f t="shared" si="34"/>
        <v>18.98497193138561</v>
      </c>
      <c r="L49" s="6">
        <f t="shared" si="34"/>
        <v>58.415298250417266</v>
      </c>
      <c r="M49" s="6">
        <f t="shared" si="34"/>
        <v>36.14446579244568</v>
      </c>
      <c r="N49" s="6">
        <f t="shared" si="34"/>
        <v>58.415298250417266</v>
      </c>
      <c r="O49" s="6">
        <f t="shared" si="34"/>
        <v>36.14446579244568</v>
      </c>
      <c r="P49" s="6">
        <f t="shared" si="34"/>
        <v>36.50956140651079</v>
      </c>
      <c r="Q49" s="15">
        <f t="shared" si="34"/>
        <v>0.322288153315974</v>
      </c>
      <c r="R49" s="15">
        <f t="shared" si="24"/>
        <v>0.03650956140651079</v>
      </c>
      <c r="S49" s="6">
        <f t="shared" si="30"/>
        <v>80.32103509432373</v>
      </c>
      <c r="T49" s="6">
        <f t="shared" si="30"/>
        <v>49.653003512854674</v>
      </c>
      <c r="U49" s="6">
        <f t="shared" si="30"/>
        <v>52.77688855307496</v>
      </c>
      <c r="V49" s="15">
        <f t="shared" si="30"/>
        <v>0.5156610453055585</v>
      </c>
      <c r="W49" s="15">
        <f t="shared" si="25"/>
        <v>0.05277688855307496</v>
      </c>
      <c r="X49" s="6">
        <f t="shared" si="31"/>
        <v>109.52868421953235</v>
      </c>
      <c r="Y49" s="6">
        <f t="shared" si="31"/>
        <v>67.90778421611006</v>
      </c>
      <c r="Z49" s="6">
        <f t="shared" si="31"/>
        <v>91.27390351627696</v>
      </c>
      <c r="AA49" s="15">
        <f t="shared" si="31"/>
        <v>0.8379491986215324</v>
      </c>
      <c r="AB49" s="15">
        <f t="shared" si="26"/>
        <v>0.09127390351627696</v>
      </c>
      <c r="AC49" s="6">
        <f t="shared" si="32"/>
        <v>182.54780703255392</v>
      </c>
      <c r="AD49" s="6">
        <f t="shared" si="32"/>
        <v>113.17964036018344</v>
      </c>
      <c r="AE49" s="6">
        <f t="shared" si="32"/>
        <v>182.54780703255392</v>
      </c>
      <c r="AF49" s="15">
        <f t="shared" si="32"/>
        <v>1.289152613263896</v>
      </c>
      <c r="AG49" s="15">
        <f t="shared" si="27"/>
        <v>0.1825478070325539</v>
      </c>
      <c r="AH49" s="6">
        <f t="shared" si="33"/>
        <v>365.09561406510784</v>
      </c>
      <c r="AI49" s="6">
        <f t="shared" si="33"/>
        <v>226.35928072036688</v>
      </c>
      <c r="AJ49" s="3"/>
      <c r="AK49" s="3"/>
      <c r="AL49" s="3"/>
      <c r="AM49" s="3"/>
      <c r="AN49" s="3"/>
      <c r="AO49" s="3"/>
      <c r="AP49" s="3"/>
    </row>
    <row r="50" spans="1:42" ht="15">
      <c r="A50" s="3" t="s">
        <v>74</v>
      </c>
      <c r="B50" s="14">
        <f>10.09*6.94</f>
        <v>70.0246</v>
      </c>
      <c r="C50" s="5">
        <f>SQRT((10.09+14.48)/14.73)</f>
        <v>1.291520204998177</v>
      </c>
      <c r="D50" s="6"/>
      <c r="E50" s="6"/>
      <c r="F50" s="6"/>
      <c r="G50" s="6"/>
      <c r="H50" s="6">
        <f aca="true" t="shared" si="35" ref="H50:I63">$C50*H$6</f>
        <v>15.179294394625984</v>
      </c>
      <c r="I50" s="6">
        <f t="shared" si="35"/>
        <v>9.509919379765677</v>
      </c>
      <c r="J50" s="6">
        <f t="shared" si="29"/>
        <v>32.91895169918888</v>
      </c>
      <c r="K50" s="6">
        <f t="shared" si="34"/>
        <v>19.019838759531353</v>
      </c>
      <c r="L50" s="6">
        <f t="shared" si="34"/>
        <v>58.52258079855801</v>
      </c>
      <c r="M50" s="6">
        <f t="shared" si="34"/>
        <v>36.21084686910777</v>
      </c>
      <c r="N50" s="6">
        <f t="shared" si="34"/>
        <v>58.52258079855801</v>
      </c>
      <c r="O50" s="6">
        <f t="shared" si="34"/>
        <v>36.21084686910777</v>
      </c>
      <c r="P50" s="6">
        <f t="shared" si="34"/>
        <v>36.57661299909876</v>
      </c>
      <c r="Q50" s="15">
        <f t="shared" si="34"/>
        <v>0.3228800512495443</v>
      </c>
      <c r="R50" s="15">
        <f t="shared" si="24"/>
        <v>0.036576612999098757</v>
      </c>
      <c r="S50" s="6">
        <f t="shared" si="30"/>
        <v>80.46854859801726</v>
      </c>
      <c r="T50" s="6">
        <f t="shared" si="30"/>
        <v>49.74419367877431</v>
      </c>
      <c r="U50" s="6">
        <f t="shared" si="30"/>
        <v>52.8738158864362</v>
      </c>
      <c r="V50" s="15">
        <f t="shared" si="30"/>
        <v>0.5166080819992709</v>
      </c>
      <c r="W50" s="15">
        <f t="shared" si="25"/>
        <v>0.0528738158864362</v>
      </c>
      <c r="X50" s="6">
        <f t="shared" si="31"/>
        <v>109.72983899729626</v>
      </c>
      <c r="Y50" s="6">
        <f t="shared" si="31"/>
        <v>68.03250017832369</v>
      </c>
      <c r="Z50" s="6">
        <f t="shared" si="31"/>
        <v>91.44153249774688</v>
      </c>
      <c r="AA50" s="15">
        <f t="shared" si="31"/>
        <v>0.8394881332488151</v>
      </c>
      <c r="AB50" s="15">
        <f t="shared" si="26"/>
        <v>0.09144153249774688</v>
      </c>
      <c r="AC50" s="6">
        <f t="shared" si="32"/>
        <v>182.88306499549375</v>
      </c>
      <c r="AD50" s="6">
        <f t="shared" si="32"/>
        <v>113.38750029720615</v>
      </c>
      <c r="AE50" s="6">
        <f t="shared" si="32"/>
        <v>182.88306499549375</v>
      </c>
      <c r="AF50" s="15">
        <f t="shared" si="32"/>
        <v>1.291520204998177</v>
      </c>
      <c r="AG50" s="15">
        <f t="shared" si="27"/>
        <v>0.18288306499549375</v>
      </c>
      <c r="AH50" s="6">
        <f t="shared" si="33"/>
        <v>365.7661299909875</v>
      </c>
      <c r="AI50" s="6">
        <f t="shared" si="33"/>
        <v>226.7750005944123</v>
      </c>
      <c r="AJ50" s="3"/>
      <c r="AK50" s="3"/>
      <c r="AL50" s="3"/>
      <c r="AM50" s="3"/>
      <c r="AN50" s="3"/>
      <c r="AO50" s="3"/>
      <c r="AP50" s="3"/>
    </row>
    <row r="51" spans="1:42" ht="15">
      <c r="A51" s="3" t="s">
        <v>52</v>
      </c>
      <c r="B51" s="14">
        <f>11*6.94</f>
        <v>76.34</v>
      </c>
      <c r="C51" s="5">
        <f>SQRT((11+14.48)/14.73)</f>
        <v>1.3152198002153401</v>
      </c>
      <c r="D51" s="3"/>
      <c r="E51" s="3"/>
      <c r="F51" s="3"/>
      <c r="G51" s="3"/>
      <c r="H51" s="6">
        <f t="shared" si="35"/>
        <v>15.457836790976101</v>
      </c>
      <c r="I51" s="6">
        <f t="shared" si="35"/>
        <v>9.684427869045267</v>
      </c>
      <c r="J51" s="6">
        <f t="shared" si="29"/>
        <v>33.52301954669516</v>
      </c>
      <c r="K51" s="6">
        <f t="shared" si="34"/>
        <v>19.368855738090534</v>
      </c>
      <c r="L51" s="6">
        <f t="shared" si="34"/>
        <v>59.59647919412473</v>
      </c>
      <c r="M51" s="6">
        <f t="shared" si="34"/>
        <v>36.875321501364674</v>
      </c>
      <c r="N51" s="6">
        <f t="shared" si="34"/>
        <v>59.59647919412473</v>
      </c>
      <c r="O51" s="6">
        <f t="shared" si="34"/>
        <v>36.875321501364674</v>
      </c>
      <c r="P51" s="6">
        <f t="shared" si="34"/>
        <v>37.24779949632796</v>
      </c>
      <c r="Q51" s="15">
        <f t="shared" si="34"/>
        <v>0.32880495005383503</v>
      </c>
      <c r="R51" s="15">
        <f t="shared" si="24"/>
        <v>0.037247799496327956</v>
      </c>
      <c r="S51" s="6">
        <f t="shared" si="30"/>
        <v>81.9451588919215</v>
      </c>
      <c r="T51" s="6">
        <f t="shared" si="30"/>
        <v>50.65700731500602</v>
      </c>
      <c r="U51" s="6">
        <f t="shared" si="30"/>
        <v>53.844058573500554</v>
      </c>
      <c r="V51" s="15">
        <f t="shared" si="30"/>
        <v>0.526087920086136</v>
      </c>
      <c r="W51" s="15">
        <f t="shared" si="25"/>
        <v>0.05384405857350055</v>
      </c>
      <c r="X51" s="6">
        <f t="shared" si="31"/>
        <v>111.74339848898386</v>
      </c>
      <c r="Y51" s="6">
        <f t="shared" si="31"/>
        <v>69.28090706316999</v>
      </c>
      <c r="Z51" s="6">
        <f t="shared" si="31"/>
        <v>93.11949874081988</v>
      </c>
      <c r="AA51" s="15">
        <f t="shared" si="31"/>
        <v>0.8548928701399711</v>
      </c>
      <c r="AB51" s="15">
        <f t="shared" si="26"/>
        <v>0.09311949874081987</v>
      </c>
      <c r="AC51" s="6">
        <f t="shared" si="32"/>
        <v>186.23899748163976</v>
      </c>
      <c r="AD51" s="6">
        <f t="shared" si="32"/>
        <v>115.46817843861666</v>
      </c>
      <c r="AE51" s="6">
        <f t="shared" si="32"/>
        <v>186.23899748163976</v>
      </c>
      <c r="AF51" s="15">
        <f t="shared" si="32"/>
        <v>1.3152198002153401</v>
      </c>
      <c r="AG51" s="15">
        <f t="shared" si="27"/>
        <v>0.18623899748163975</v>
      </c>
      <c r="AH51" s="6">
        <f t="shared" si="33"/>
        <v>372.4779949632795</v>
      </c>
      <c r="AI51" s="6">
        <f t="shared" si="33"/>
        <v>230.93635687723332</v>
      </c>
      <c r="AJ51" s="3"/>
      <c r="AK51" s="3"/>
      <c r="AL51" s="3"/>
      <c r="AM51" s="3"/>
      <c r="AN51" s="3"/>
      <c r="AO51" s="3"/>
      <c r="AP51" s="3"/>
    </row>
    <row r="52" spans="1:42" ht="15">
      <c r="A52" s="3" t="s">
        <v>53</v>
      </c>
      <c r="B52" s="14">
        <f>12*6.94</f>
        <v>83.28</v>
      </c>
      <c r="C52" s="5">
        <f>SQRT((12+14.48)/14.73)</f>
        <v>1.3407802897834626</v>
      </c>
      <c r="D52" s="3"/>
      <c r="E52" s="3"/>
      <c r="F52" s="3"/>
      <c r="G52" s="3"/>
      <c r="H52" s="6">
        <f t="shared" si="35"/>
        <v>15.758250361374596</v>
      </c>
      <c r="I52" s="6">
        <f t="shared" si="35"/>
        <v>9.872638780620228</v>
      </c>
      <c r="J52" s="6">
        <f t="shared" si="29"/>
        <v>34.1745188559931</v>
      </c>
      <c r="K52" s="6">
        <f t="shared" si="34"/>
        <v>19.745277561240457</v>
      </c>
      <c r="L52" s="6">
        <f t="shared" si="34"/>
        <v>60.75470018843218</v>
      </c>
      <c r="M52" s="6">
        <f t="shared" si="34"/>
        <v>37.59197074159241</v>
      </c>
      <c r="N52" s="6">
        <f t="shared" si="34"/>
        <v>60.75470018843218</v>
      </c>
      <c r="O52" s="6">
        <f t="shared" si="34"/>
        <v>37.59197074159241</v>
      </c>
      <c r="P52" s="6">
        <f t="shared" si="34"/>
        <v>37.97168761777011</v>
      </c>
      <c r="Q52" s="15">
        <f t="shared" si="34"/>
        <v>0.33519507244586566</v>
      </c>
      <c r="R52" s="15">
        <f t="shared" si="24"/>
        <v>0.03797168761777011</v>
      </c>
      <c r="S52" s="6">
        <f t="shared" si="30"/>
        <v>83.53771275909423</v>
      </c>
      <c r="T52" s="6">
        <f t="shared" si="30"/>
        <v>51.64149516016735</v>
      </c>
      <c r="U52" s="6">
        <f t="shared" si="30"/>
        <v>54.89048480373827</v>
      </c>
      <c r="V52" s="15">
        <f t="shared" si="30"/>
        <v>0.5363121159133851</v>
      </c>
      <c r="W52" s="15">
        <f t="shared" si="25"/>
        <v>0.05489048480373827</v>
      </c>
      <c r="X52" s="6">
        <f t="shared" si="31"/>
        <v>113.91506285331032</v>
      </c>
      <c r="Y52" s="6">
        <f t="shared" si="31"/>
        <v>70.6273389690524</v>
      </c>
      <c r="Z52" s="6">
        <f t="shared" si="31"/>
        <v>94.92921904442527</v>
      </c>
      <c r="AA52" s="15">
        <f t="shared" si="31"/>
        <v>0.8715071883592508</v>
      </c>
      <c r="AB52" s="15">
        <f t="shared" si="26"/>
        <v>0.09492921904442526</v>
      </c>
      <c r="AC52" s="6">
        <f t="shared" si="32"/>
        <v>189.85843808885053</v>
      </c>
      <c r="AD52" s="6">
        <f t="shared" si="32"/>
        <v>117.71223161508733</v>
      </c>
      <c r="AE52" s="6">
        <f t="shared" si="32"/>
        <v>189.85843808885053</v>
      </c>
      <c r="AF52" s="15">
        <f t="shared" si="32"/>
        <v>1.3407802897834626</v>
      </c>
      <c r="AG52" s="15">
        <f t="shared" si="27"/>
        <v>0.18985843808885053</v>
      </c>
      <c r="AH52" s="6">
        <f t="shared" si="33"/>
        <v>379.71687617770107</v>
      </c>
      <c r="AI52" s="6">
        <f t="shared" si="33"/>
        <v>235.42446323017467</v>
      </c>
      <c r="AJ52" s="3"/>
      <c r="AK52" s="3"/>
      <c r="AL52" s="3"/>
      <c r="AM52" s="3"/>
      <c r="AN52" s="3"/>
      <c r="AO52" s="3"/>
      <c r="AP52" s="3"/>
    </row>
    <row r="53" spans="1:42" ht="15">
      <c r="A53" s="3" t="s">
        <v>54</v>
      </c>
      <c r="B53" s="14">
        <f>13*6.94</f>
        <v>90.22</v>
      </c>
      <c r="C53" s="5">
        <f>SQRT((13+14.48)/14.73)</f>
        <v>1.365862528977632</v>
      </c>
      <c r="D53" s="3"/>
      <c r="E53" s="3"/>
      <c r="F53" s="3"/>
      <c r="G53" s="3"/>
      <c r="H53" s="6">
        <f t="shared" si="35"/>
        <v>16.053043033863418</v>
      </c>
      <c r="I53" s="6">
        <f t="shared" si="35"/>
        <v>10.057328165793948</v>
      </c>
      <c r="J53" s="6">
        <f t="shared" si="29"/>
        <v>34.81382826620982</v>
      </c>
      <c r="K53" s="6">
        <f t="shared" si="34"/>
        <v>20.114656331587895</v>
      </c>
      <c r="L53" s="6">
        <f t="shared" si="34"/>
        <v>61.891250251039686</v>
      </c>
      <c r="M53" s="6">
        <f t="shared" si="34"/>
        <v>38.295211092830804</v>
      </c>
      <c r="N53" s="6">
        <f t="shared" si="34"/>
        <v>61.891250251039686</v>
      </c>
      <c r="O53" s="6">
        <f t="shared" si="34"/>
        <v>38.295211092830804</v>
      </c>
      <c r="P53" s="6">
        <f t="shared" si="34"/>
        <v>38.6820314068998</v>
      </c>
      <c r="Q53" s="15">
        <f t="shared" si="34"/>
        <v>0.341465632244408</v>
      </c>
      <c r="R53" s="15">
        <f t="shared" si="24"/>
        <v>0.038682031406899804</v>
      </c>
      <c r="S53" s="6">
        <f t="shared" si="30"/>
        <v>85.10046909517956</v>
      </c>
      <c r="T53" s="6">
        <f t="shared" si="30"/>
        <v>52.60756271338373</v>
      </c>
      <c r="U53" s="6">
        <f t="shared" si="30"/>
        <v>55.917331841856374</v>
      </c>
      <c r="V53" s="15">
        <f t="shared" si="30"/>
        <v>0.5463450115910529</v>
      </c>
      <c r="W53" s="15">
        <f t="shared" si="25"/>
        <v>0.05591733184185638</v>
      </c>
      <c r="X53" s="6">
        <f t="shared" si="31"/>
        <v>116.04609422069939</v>
      </c>
      <c r="Y53" s="6">
        <f t="shared" si="31"/>
        <v>71.94857841683363</v>
      </c>
      <c r="Z53" s="6">
        <f t="shared" si="31"/>
        <v>96.70507851724949</v>
      </c>
      <c r="AA53" s="15">
        <f t="shared" si="31"/>
        <v>0.8878106438354608</v>
      </c>
      <c r="AB53" s="15">
        <f t="shared" si="26"/>
        <v>0.0967050785172495</v>
      </c>
      <c r="AC53" s="6">
        <f t="shared" si="32"/>
        <v>193.41015703449898</v>
      </c>
      <c r="AD53" s="6">
        <f t="shared" si="32"/>
        <v>119.91429736138939</v>
      </c>
      <c r="AE53" s="6">
        <f t="shared" si="32"/>
        <v>193.41015703449898</v>
      </c>
      <c r="AF53" s="15">
        <f t="shared" si="32"/>
        <v>1.365862528977632</v>
      </c>
      <c r="AG53" s="15">
        <f t="shared" si="27"/>
        <v>0.193410157034499</v>
      </c>
      <c r="AH53" s="6">
        <f t="shared" si="33"/>
        <v>386.82031406899796</v>
      </c>
      <c r="AI53" s="6">
        <f t="shared" si="33"/>
        <v>239.82859472277877</v>
      </c>
      <c r="AJ53" s="3"/>
      <c r="AK53" s="3"/>
      <c r="AL53" s="3"/>
      <c r="AM53" s="3"/>
      <c r="AN53" s="3"/>
      <c r="AO53" s="3"/>
      <c r="AP53" s="3"/>
    </row>
    <row r="54" spans="1:42" ht="15">
      <c r="A54" s="3" t="s">
        <v>55</v>
      </c>
      <c r="B54" s="14">
        <f>14*6.94</f>
        <v>97.16000000000001</v>
      </c>
      <c r="C54" s="5">
        <f>SQRT((14+14.48)/14.73)</f>
        <v>1.3904923986338509</v>
      </c>
      <c r="D54" s="3"/>
      <c r="E54" s="3"/>
      <c r="F54" s="3"/>
      <c r="G54" s="3"/>
      <c r="H54" s="6">
        <f t="shared" si="35"/>
        <v>16.342518987058853</v>
      </c>
      <c r="I54" s="6">
        <f t="shared" si="35"/>
        <v>10.238686594301932</v>
      </c>
      <c r="J54" s="6">
        <f t="shared" si="29"/>
        <v>35.44160744181438</v>
      </c>
      <c r="K54" s="6">
        <f t="shared" si="34"/>
        <v>20.477373188603863</v>
      </c>
      <c r="L54" s="6">
        <f t="shared" si="34"/>
        <v>63.00730211878112</v>
      </c>
      <c r="M54" s="6">
        <f t="shared" si="34"/>
        <v>38.985768185995816</v>
      </c>
      <c r="N54" s="6">
        <f t="shared" si="34"/>
        <v>63.00730211878112</v>
      </c>
      <c r="O54" s="6">
        <f t="shared" si="34"/>
        <v>38.985768185995816</v>
      </c>
      <c r="P54" s="6">
        <f t="shared" si="34"/>
        <v>39.379563824238204</v>
      </c>
      <c r="Q54" s="15">
        <f t="shared" si="34"/>
        <v>0.3476230996584627</v>
      </c>
      <c r="R54" s="15">
        <f t="shared" si="24"/>
        <v>0.039379563824238205</v>
      </c>
      <c r="S54" s="6">
        <f t="shared" si="30"/>
        <v>86.63504041332403</v>
      </c>
      <c r="T54" s="6">
        <f t="shared" si="30"/>
        <v>53.55620680096395</v>
      </c>
      <c r="U54" s="6">
        <f t="shared" si="30"/>
        <v>56.92565922881481</v>
      </c>
      <c r="V54" s="15">
        <f t="shared" si="30"/>
        <v>0.5561969594535404</v>
      </c>
      <c r="W54" s="15">
        <f t="shared" si="25"/>
        <v>0.05692565922881481</v>
      </c>
      <c r="X54" s="6">
        <f t="shared" si="31"/>
        <v>118.13869147271458</v>
      </c>
      <c r="Y54" s="6">
        <f t="shared" si="31"/>
        <v>73.24598871308305</v>
      </c>
      <c r="Z54" s="6">
        <f t="shared" si="31"/>
        <v>98.4489095605955</v>
      </c>
      <c r="AA54" s="15">
        <f t="shared" si="31"/>
        <v>0.9038200591120031</v>
      </c>
      <c r="AB54" s="15">
        <f t="shared" si="26"/>
        <v>0.0984489095605955</v>
      </c>
      <c r="AC54" s="6">
        <f t="shared" si="32"/>
        <v>196.897819121191</v>
      </c>
      <c r="AD54" s="6">
        <f t="shared" si="32"/>
        <v>122.07664785513842</v>
      </c>
      <c r="AE54" s="6">
        <f t="shared" si="32"/>
        <v>196.897819121191</v>
      </c>
      <c r="AF54" s="15">
        <f t="shared" si="32"/>
        <v>1.3904923986338509</v>
      </c>
      <c r="AG54" s="15">
        <f t="shared" si="27"/>
        <v>0.196897819121191</v>
      </c>
      <c r="AH54" s="6">
        <f t="shared" si="33"/>
        <v>393.795638242382</v>
      </c>
      <c r="AI54" s="6">
        <f t="shared" si="33"/>
        <v>244.15329571027684</v>
      </c>
      <c r="AJ54" s="3"/>
      <c r="AK54" s="3"/>
      <c r="AL54" s="3"/>
      <c r="AM54" s="3"/>
      <c r="AN54" s="3"/>
      <c r="AO54" s="3"/>
      <c r="AP54" s="3"/>
    </row>
    <row r="55" spans="1:42" ht="15">
      <c r="A55" s="3" t="s">
        <v>56</v>
      </c>
      <c r="B55" s="14">
        <f>15*6.94</f>
        <v>104.10000000000001</v>
      </c>
      <c r="C55" s="5">
        <f>SQRT((15+14.48)/14.73)</f>
        <v>1.4146935262635039</v>
      </c>
      <c r="D55" s="3"/>
      <c r="E55" s="3"/>
      <c r="F55" s="3"/>
      <c r="G55" s="3"/>
      <c r="H55" s="21">
        <f t="shared" si="35"/>
        <v>16.626955916152763</v>
      </c>
      <c r="I55" s="6">
        <f t="shared" si="35"/>
        <v>10.416888043854742</v>
      </c>
      <c r="J55" s="6">
        <f t="shared" si="29"/>
        <v>36.05845861334334</v>
      </c>
      <c r="K55" s="6">
        <f t="shared" si="34"/>
        <v>20.833776087709484</v>
      </c>
      <c r="L55" s="6">
        <f t="shared" si="34"/>
        <v>64.1039264237215</v>
      </c>
      <c r="M55" s="6">
        <f t="shared" si="34"/>
        <v>39.66430447467768</v>
      </c>
      <c r="N55" s="6">
        <f t="shared" si="34"/>
        <v>64.1039264237215</v>
      </c>
      <c r="O55" s="6">
        <f t="shared" si="34"/>
        <v>39.66430447467768</v>
      </c>
      <c r="P55" s="6">
        <f t="shared" si="34"/>
        <v>40.064954014825936</v>
      </c>
      <c r="Q55" s="15">
        <f t="shared" si="34"/>
        <v>0.35367338156587597</v>
      </c>
      <c r="R55" s="15">
        <f t="shared" si="24"/>
        <v>0.04006495401482594</v>
      </c>
      <c r="S55" s="6">
        <f t="shared" si="30"/>
        <v>88.14289883261706</v>
      </c>
      <c r="T55" s="6">
        <f t="shared" si="30"/>
        <v>54.48833746016327</v>
      </c>
      <c r="U55" s="6">
        <f t="shared" si="30"/>
        <v>57.916434256245545</v>
      </c>
      <c r="V55" s="15">
        <f t="shared" si="30"/>
        <v>0.5658774105054015</v>
      </c>
      <c r="W55" s="15">
        <f t="shared" si="25"/>
        <v>0.05791643425624554</v>
      </c>
      <c r="X55" s="6">
        <f t="shared" si="31"/>
        <v>120.1948620444778</v>
      </c>
      <c r="Y55" s="6">
        <f t="shared" si="31"/>
        <v>74.52081446757624</v>
      </c>
      <c r="Z55" s="6">
        <f t="shared" si="31"/>
        <v>100.16238503706484</v>
      </c>
      <c r="AA55" s="15">
        <f t="shared" si="31"/>
        <v>0.9195507920712775</v>
      </c>
      <c r="AB55" s="15">
        <f t="shared" si="26"/>
        <v>0.10016238503706484</v>
      </c>
      <c r="AC55" s="6">
        <f t="shared" si="32"/>
        <v>200.32477007412967</v>
      </c>
      <c r="AD55" s="6">
        <f t="shared" si="32"/>
        <v>124.2013574459604</v>
      </c>
      <c r="AE55" s="6">
        <f t="shared" si="32"/>
        <v>200.32477007412967</v>
      </c>
      <c r="AF55" s="15">
        <f t="shared" si="32"/>
        <v>1.4146935262635039</v>
      </c>
      <c r="AG55" s="15">
        <f t="shared" si="27"/>
        <v>0.2003247700741297</v>
      </c>
      <c r="AH55" s="6">
        <f t="shared" si="33"/>
        <v>400.64954014825935</v>
      </c>
      <c r="AI55" s="6">
        <f t="shared" si="33"/>
        <v>248.4027148919208</v>
      </c>
      <c r="AJ55" s="3"/>
      <c r="AK55" s="3"/>
      <c r="AL55" s="3"/>
      <c r="AM55" s="3"/>
      <c r="AN55" s="3"/>
      <c r="AO55" s="3"/>
      <c r="AP55" s="3"/>
    </row>
    <row r="56" spans="1:42" ht="15">
      <c r="A56" s="3" t="s">
        <v>75</v>
      </c>
      <c r="B56" s="14">
        <f>15.13*6.94</f>
        <v>105.00220000000002</v>
      </c>
      <c r="C56" s="5">
        <f>SQRT((15.13+14.48)/14.73)</f>
        <v>1.4178093311122628</v>
      </c>
      <c r="D56" s="3"/>
      <c r="E56" s="3"/>
      <c r="F56" s="3"/>
      <c r="G56" s="3"/>
      <c r="H56" s="21">
        <f t="shared" si="35"/>
        <v>16.663576109079273</v>
      </c>
      <c r="I56" s="6">
        <f t="shared" si="35"/>
        <v>10.439830815326772</v>
      </c>
      <c r="J56" s="6">
        <f t="shared" si="29"/>
        <v>36.137875899208055</v>
      </c>
      <c r="K56" s="6">
        <f t="shared" si="34"/>
        <v>20.879661630653544</v>
      </c>
      <c r="L56" s="6">
        <f t="shared" si="34"/>
        <v>64.24511270970322</v>
      </c>
      <c r="M56" s="6">
        <f t="shared" si="34"/>
        <v>39.75166348912886</v>
      </c>
      <c r="N56" s="6">
        <f t="shared" si="34"/>
        <v>64.24511270970322</v>
      </c>
      <c r="O56" s="6">
        <f t="shared" si="34"/>
        <v>39.75166348912886</v>
      </c>
      <c r="P56" s="6">
        <f t="shared" si="34"/>
        <v>40.153195443564506</v>
      </c>
      <c r="Q56" s="15">
        <f t="shared" si="34"/>
        <v>0.3544523327780657</v>
      </c>
      <c r="R56" s="15">
        <f t="shared" si="24"/>
        <v>0.04015319544356451</v>
      </c>
      <c r="S56" s="6">
        <f t="shared" si="30"/>
        <v>88.33702997584192</v>
      </c>
      <c r="T56" s="6">
        <f t="shared" si="30"/>
        <v>54.60834580324773</v>
      </c>
      <c r="U56" s="6">
        <f t="shared" si="30"/>
        <v>58.04399284284278</v>
      </c>
      <c r="V56" s="15">
        <f t="shared" si="30"/>
        <v>0.5671237324449051</v>
      </c>
      <c r="W56" s="15">
        <f t="shared" si="25"/>
        <v>0.058043992842842784</v>
      </c>
      <c r="X56" s="6">
        <f t="shared" si="31"/>
        <v>120.45958633069351</v>
      </c>
      <c r="Y56" s="6">
        <f t="shared" si="31"/>
        <v>74.68494352502998</v>
      </c>
      <c r="Z56" s="6">
        <f t="shared" si="31"/>
        <v>100.38298860891126</v>
      </c>
      <c r="AA56" s="15">
        <f t="shared" si="31"/>
        <v>0.9215760652229709</v>
      </c>
      <c r="AB56" s="15">
        <f t="shared" si="26"/>
        <v>0.10038298860891126</v>
      </c>
      <c r="AC56" s="6">
        <f t="shared" si="32"/>
        <v>200.76597721782252</v>
      </c>
      <c r="AD56" s="6">
        <f t="shared" si="32"/>
        <v>124.47490587504997</v>
      </c>
      <c r="AE56" s="6">
        <f t="shared" si="32"/>
        <v>200.76597721782252</v>
      </c>
      <c r="AF56" s="15">
        <f t="shared" si="32"/>
        <v>1.4178093311122628</v>
      </c>
      <c r="AG56" s="15">
        <f t="shared" si="27"/>
        <v>0.20076597721782252</v>
      </c>
      <c r="AH56" s="6">
        <f t="shared" si="33"/>
        <v>401.53195443564505</v>
      </c>
      <c r="AI56" s="6">
        <f t="shared" si="33"/>
        <v>248.94981175009994</v>
      </c>
      <c r="AJ56" s="3"/>
      <c r="AK56" s="3"/>
      <c r="AL56" s="3"/>
      <c r="AM56" s="3"/>
      <c r="AN56" s="3"/>
      <c r="AO56" s="3"/>
      <c r="AP56" s="3"/>
    </row>
    <row r="57" spans="1:42" ht="15">
      <c r="A57" s="3" t="s">
        <v>94</v>
      </c>
      <c r="B57" s="14">
        <f>17*6.94</f>
        <v>117.98</v>
      </c>
      <c r="C57" s="5">
        <f>SQRT((17+14.48)/14.73)</f>
        <v>1.4618943526939834</v>
      </c>
      <c r="D57" s="3"/>
      <c r="E57" s="3"/>
      <c r="F57" s="3"/>
      <c r="G57" s="3"/>
      <c r="H57" s="21">
        <f t="shared" si="35"/>
        <v>17.181709327895867</v>
      </c>
      <c r="I57" s="6">
        <f t="shared" si="35"/>
        <v>10.76444439819982</v>
      </c>
      <c r="J57" s="6">
        <f t="shared" si="29"/>
        <v>37.26153830146092</v>
      </c>
      <c r="K57" s="6">
        <f t="shared" si="34"/>
        <v>21.52888879639964</v>
      </c>
      <c r="L57" s="6">
        <f t="shared" si="34"/>
        <v>66.24273475815275</v>
      </c>
      <c r="M57" s="6">
        <f t="shared" si="34"/>
        <v>40.987692131607005</v>
      </c>
      <c r="N57" s="6">
        <f t="shared" si="34"/>
        <v>66.24273475815275</v>
      </c>
      <c r="O57" s="6">
        <f t="shared" si="34"/>
        <v>40.987692131607005</v>
      </c>
      <c r="P57" s="6">
        <f t="shared" si="34"/>
        <v>41.401709223845465</v>
      </c>
      <c r="Q57" s="15">
        <f t="shared" si="34"/>
        <v>0.36547358817349584</v>
      </c>
      <c r="R57" s="15">
        <f t="shared" si="24"/>
        <v>0.041401709223845465</v>
      </c>
      <c r="S57" s="6">
        <f t="shared" si="30"/>
        <v>91.08376029246001</v>
      </c>
      <c r="T57" s="6">
        <f t="shared" si="30"/>
        <v>56.30632454442983</v>
      </c>
      <c r="U57" s="6">
        <f t="shared" si="30"/>
        <v>59.84879876491874</v>
      </c>
      <c r="V57" s="15">
        <f t="shared" si="30"/>
        <v>0.5847577410775934</v>
      </c>
      <c r="W57" s="15">
        <f t="shared" si="25"/>
        <v>0.05984879876491874</v>
      </c>
      <c r="X57" s="6">
        <f t="shared" si="31"/>
        <v>124.20512767153637</v>
      </c>
      <c r="Y57" s="6">
        <f t="shared" si="31"/>
        <v>77.00717915635256</v>
      </c>
      <c r="Z57" s="6">
        <f t="shared" si="31"/>
        <v>103.50427305961365</v>
      </c>
      <c r="AA57" s="15">
        <f t="shared" si="31"/>
        <v>0.9502313292510892</v>
      </c>
      <c r="AB57" s="15">
        <f t="shared" si="26"/>
        <v>0.10350427305961366</v>
      </c>
      <c r="AC57" s="6">
        <f t="shared" si="32"/>
        <v>207.0085461192273</v>
      </c>
      <c r="AD57" s="6">
        <f t="shared" si="32"/>
        <v>128.34529859392094</v>
      </c>
      <c r="AE57" s="6">
        <f t="shared" si="32"/>
        <v>207.0085461192273</v>
      </c>
      <c r="AF57" s="15">
        <f t="shared" si="32"/>
        <v>1.4618943526939834</v>
      </c>
      <c r="AG57" s="15">
        <f t="shared" si="27"/>
        <v>0.2070085461192273</v>
      </c>
      <c r="AH57" s="6">
        <f t="shared" si="33"/>
        <v>414.0170922384546</v>
      </c>
      <c r="AI57" s="6">
        <f t="shared" si="33"/>
        <v>256.6905971878419</v>
      </c>
      <c r="AJ57" s="3"/>
      <c r="AK57" s="3"/>
      <c r="AL57" s="3"/>
      <c r="AM57" s="3"/>
      <c r="AN57" s="3"/>
      <c r="AO57" s="3"/>
      <c r="AP57" s="3"/>
    </row>
    <row r="58" spans="1:42" ht="15">
      <c r="A58" s="3" t="s">
        <v>95</v>
      </c>
      <c r="B58" s="14">
        <f>18*6.94</f>
        <v>124.92</v>
      </c>
      <c r="C58" s="5">
        <f>SQRT((18+14.48)/14.73)</f>
        <v>1.4849322412258101</v>
      </c>
      <c r="D58" s="3"/>
      <c r="E58" s="3"/>
      <c r="F58" s="3"/>
      <c r="G58" s="3"/>
      <c r="H58" s="21">
        <f t="shared" si="35"/>
        <v>17.452474656151548</v>
      </c>
      <c r="I58" s="6">
        <f t="shared" si="35"/>
        <v>10.93408050746844</v>
      </c>
      <c r="J58" s="6">
        <f t="shared" si="29"/>
        <v>37.84874021815998</v>
      </c>
      <c r="K58" s="6">
        <f t="shared" si="34"/>
        <v>21.86816101493688</v>
      </c>
      <c r="L58" s="6">
        <f t="shared" si="34"/>
        <v>67.28664927672887</v>
      </c>
      <c r="M58" s="6">
        <f t="shared" si="34"/>
        <v>41.633614239975984</v>
      </c>
      <c r="N58" s="6">
        <f t="shared" si="34"/>
        <v>67.28664927672887</v>
      </c>
      <c r="O58" s="6">
        <f t="shared" si="34"/>
        <v>41.633614239975984</v>
      </c>
      <c r="P58" s="6">
        <f t="shared" si="34"/>
        <v>42.05415579795554</v>
      </c>
      <c r="Q58" s="15">
        <f t="shared" si="34"/>
        <v>0.37123306030645253</v>
      </c>
      <c r="R58" s="15">
        <f t="shared" si="24"/>
        <v>0.04205415579795554</v>
      </c>
      <c r="S58" s="6">
        <f t="shared" si="30"/>
        <v>92.51914275550219</v>
      </c>
      <c r="T58" s="6">
        <f t="shared" si="30"/>
        <v>57.19365188521953</v>
      </c>
      <c r="U58" s="6">
        <f t="shared" si="30"/>
        <v>60.79195170354873</v>
      </c>
      <c r="V58" s="15">
        <f t="shared" si="30"/>
        <v>0.593972896490324</v>
      </c>
      <c r="W58" s="15">
        <f t="shared" si="25"/>
        <v>0.06079195170354873</v>
      </c>
      <c r="X58" s="6">
        <f t="shared" si="31"/>
        <v>126.1624673938666</v>
      </c>
      <c r="Y58" s="6">
        <f t="shared" si="31"/>
        <v>78.2207297841973</v>
      </c>
      <c r="Z58" s="6">
        <f t="shared" si="31"/>
        <v>105.13538949488884</v>
      </c>
      <c r="AA58" s="15">
        <f t="shared" si="31"/>
        <v>0.9652059567967766</v>
      </c>
      <c r="AB58" s="15">
        <f t="shared" si="26"/>
        <v>0.10513538949488885</v>
      </c>
      <c r="AC58" s="6">
        <f t="shared" si="32"/>
        <v>210.27077898977768</v>
      </c>
      <c r="AD58" s="6">
        <f t="shared" si="32"/>
        <v>130.36788297366218</v>
      </c>
      <c r="AE58" s="6">
        <f t="shared" si="32"/>
        <v>210.27077898977768</v>
      </c>
      <c r="AF58" s="15">
        <f t="shared" si="32"/>
        <v>1.4849322412258101</v>
      </c>
      <c r="AG58" s="15">
        <f t="shared" si="27"/>
        <v>0.2102707789897777</v>
      </c>
      <c r="AH58" s="6">
        <f t="shared" si="33"/>
        <v>420.54155797955536</v>
      </c>
      <c r="AI58" s="6">
        <f t="shared" si="33"/>
        <v>260.73576594732435</v>
      </c>
      <c r="AJ58" s="3"/>
      <c r="AK58" s="3"/>
      <c r="AL58" s="3"/>
      <c r="AM58" s="3"/>
      <c r="AN58" s="3"/>
      <c r="AO58" s="3"/>
      <c r="AP58" s="3"/>
    </row>
    <row r="59" spans="1:42" ht="15.75">
      <c r="A59" s="3" t="s">
        <v>57</v>
      </c>
      <c r="B59" s="14">
        <f>20*6.94</f>
        <v>138.8</v>
      </c>
      <c r="C59" s="5">
        <f>SQRT((20+14.48)/14.73)</f>
        <v>1.5299676748933624</v>
      </c>
      <c r="D59" s="3"/>
      <c r="E59" s="3"/>
      <c r="F59" s="3"/>
      <c r="G59" s="3"/>
      <c r="H59" s="21">
        <f t="shared" si="35"/>
        <v>17.981778110471407</v>
      </c>
      <c r="I59" s="6">
        <f t="shared" si="35"/>
        <v>11.265692310174856</v>
      </c>
      <c r="J59" s="6">
        <f t="shared" si="29"/>
        <v>38.99662722752835</v>
      </c>
      <c r="K59" s="6">
        <f t="shared" si="34"/>
        <v>22.531384620349712</v>
      </c>
      <c r="L59" s="9">
        <f t="shared" si="34"/>
        <v>69.32733729338374</v>
      </c>
      <c r="M59" s="6">
        <f t="shared" si="34"/>
        <v>42.89628995028119</v>
      </c>
      <c r="N59" s="9">
        <f t="shared" si="34"/>
        <v>69.32733729338374</v>
      </c>
      <c r="O59" s="6">
        <f t="shared" si="34"/>
        <v>42.89628995028119</v>
      </c>
      <c r="P59" s="6">
        <f t="shared" si="34"/>
        <v>43.32958580836484</v>
      </c>
      <c r="Q59" s="15">
        <f t="shared" si="34"/>
        <v>0.3824919187233406</v>
      </c>
      <c r="R59" s="15">
        <f t="shared" si="24"/>
        <v>0.04332958580836484</v>
      </c>
      <c r="S59" s="6">
        <f t="shared" si="30"/>
        <v>95.32508877840263</v>
      </c>
      <c r="T59" s="6">
        <f t="shared" si="30"/>
        <v>58.92823669937618</v>
      </c>
      <c r="U59" s="6">
        <f t="shared" si="30"/>
        <v>62.63566674485336</v>
      </c>
      <c r="V59" s="15">
        <f t="shared" si="30"/>
        <v>0.611987069957345</v>
      </c>
      <c r="W59" s="15">
        <f t="shared" si="25"/>
        <v>0.06263566674485337</v>
      </c>
      <c r="X59" s="6">
        <f t="shared" si="31"/>
        <v>129.9887574250945</v>
      </c>
      <c r="Y59" s="6">
        <f t="shared" si="31"/>
        <v>80.59302960355859</v>
      </c>
      <c r="Z59" s="6">
        <f t="shared" si="31"/>
        <v>108.32396452091207</v>
      </c>
      <c r="AA59" s="15">
        <f t="shared" si="31"/>
        <v>0.9944789886806856</v>
      </c>
      <c r="AB59" s="15">
        <f t="shared" si="26"/>
        <v>0.10832396452091207</v>
      </c>
      <c r="AC59" s="6">
        <f t="shared" si="32"/>
        <v>216.64792904182414</v>
      </c>
      <c r="AD59" s="6">
        <f t="shared" si="32"/>
        <v>134.321716005931</v>
      </c>
      <c r="AE59" s="6">
        <f t="shared" si="32"/>
        <v>216.64792904182414</v>
      </c>
      <c r="AF59" s="15">
        <f t="shared" si="32"/>
        <v>1.5299676748933624</v>
      </c>
      <c r="AG59" s="15">
        <f t="shared" si="27"/>
        <v>0.21664792904182414</v>
      </c>
      <c r="AH59" s="6">
        <f t="shared" si="33"/>
        <v>433.2958580836483</v>
      </c>
      <c r="AI59" s="6">
        <f t="shared" si="33"/>
        <v>268.643432011862</v>
      </c>
      <c r="AJ59" s="3"/>
      <c r="AK59" s="3"/>
      <c r="AL59" s="3"/>
      <c r="AM59" s="3"/>
      <c r="AN59" s="3"/>
      <c r="AO59" s="3"/>
      <c r="AP59" s="3"/>
    </row>
    <row r="60" spans="1:42" ht="15.75">
      <c r="A60" s="3" t="s">
        <v>76</v>
      </c>
      <c r="B60" s="14">
        <f>20.17*6.94</f>
        <v>139.9798</v>
      </c>
      <c r="C60" s="5">
        <f>SQRT((20.17+14.48)/14.73)</f>
        <v>1.5337347094134208</v>
      </c>
      <c r="D60" s="3"/>
      <c r="E60" s="3"/>
      <c r="F60" s="3"/>
      <c r="G60" s="3"/>
      <c r="H60" s="21">
        <f t="shared" si="35"/>
        <v>18.026052234680535</v>
      </c>
      <c r="I60" s="6">
        <f t="shared" si="35"/>
        <v>11.293430315703466</v>
      </c>
      <c r="J60" s="6">
        <f t="shared" si="29"/>
        <v>39.092643400511996</v>
      </c>
      <c r="K60" s="6">
        <f>$C60*K$6</f>
        <v>22.586860631406932</v>
      </c>
      <c r="L60" s="9"/>
      <c r="M60" s="6"/>
      <c r="N60" s="6">
        <f aca="true" t="shared" si="36" ref="N60:Q63">$C60*N$6</f>
        <v>69.49803271202133</v>
      </c>
      <c r="O60" s="6">
        <f t="shared" si="36"/>
        <v>43.0019077405632</v>
      </c>
      <c r="P60" s="6">
        <f t="shared" si="36"/>
        <v>43.436270445013335</v>
      </c>
      <c r="Q60" s="15">
        <f t="shared" si="36"/>
        <v>0.3834336773533552</v>
      </c>
      <c r="R60" s="15">
        <f t="shared" si="24"/>
        <v>0.04343627044501334</v>
      </c>
      <c r="S60" s="6">
        <f t="shared" si="30"/>
        <v>95.55979497902933</v>
      </c>
      <c r="T60" s="6">
        <f t="shared" si="30"/>
        <v>59.073327805218135</v>
      </c>
      <c r="U60" s="6">
        <f t="shared" si="30"/>
        <v>62.789886159215285</v>
      </c>
      <c r="V60" s="15">
        <f t="shared" si="30"/>
        <v>0.6134938837653684</v>
      </c>
      <c r="W60" s="15">
        <f t="shared" si="25"/>
        <v>0.06278988615921528</v>
      </c>
      <c r="X60" s="6">
        <f t="shared" si="31"/>
        <v>130.30881133504</v>
      </c>
      <c r="Y60" s="6">
        <f t="shared" si="31"/>
        <v>80.7914630277248</v>
      </c>
      <c r="Z60" s="6">
        <f t="shared" si="31"/>
        <v>108.59067611253332</v>
      </c>
      <c r="AA60" s="15">
        <f t="shared" si="31"/>
        <v>0.9969275611187236</v>
      </c>
      <c r="AB60" s="15">
        <f t="shared" si="26"/>
        <v>0.10859067611253331</v>
      </c>
      <c r="AC60" s="6">
        <f t="shared" si="32"/>
        <v>217.18135222506663</v>
      </c>
      <c r="AD60" s="6">
        <f t="shared" si="32"/>
        <v>134.65243837954134</v>
      </c>
      <c r="AE60" s="6">
        <f t="shared" si="32"/>
        <v>217.18135222506663</v>
      </c>
      <c r="AF60" s="15">
        <f t="shared" si="32"/>
        <v>1.5337347094134208</v>
      </c>
      <c r="AG60" s="15">
        <f t="shared" si="27"/>
        <v>0.21718135222506663</v>
      </c>
      <c r="AH60" s="6">
        <f t="shared" si="33"/>
        <v>434.36270445013326</v>
      </c>
      <c r="AI60" s="6">
        <f t="shared" si="33"/>
        <v>269.3048767590827</v>
      </c>
      <c r="AJ60" s="3"/>
      <c r="AK60" s="3"/>
      <c r="AL60" s="3"/>
      <c r="AM60" s="3"/>
      <c r="AN60" s="3"/>
      <c r="AO60" s="3"/>
      <c r="AP60" s="3"/>
    </row>
    <row r="61" spans="1:42" ht="15.75">
      <c r="A61" s="3" t="s">
        <v>96</v>
      </c>
      <c r="B61" s="14">
        <f>22*6.94</f>
        <v>152.68</v>
      </c>
      <c r="C61" s="5">
        <f>SQRT((22+14.48)/14.73)</f>
        <v>1.5737148443747029</v>
      </c>
      <c r="D61" s="3"/>
      <c r="E61" s="3"/>
      <c r="F61" s="3"/>
      <c r="G61" s="3"/>
      <c r="H61" s="21">
        <f t="shared" si="35"/>
        <v>18.49594053853021</v>
      </c>
      <c r="I61" s="6">
        <f t="shared" si="35"/>
        <v>11.587818168717721</v>
      </c>
      <c r="J61" s="6">
        <f t="shared" si="29"/>
        <v>40.11167827633057</v>
      </c>
      <c r="K61" s="6">
        <f>$C61*K$6</f>
        <v>23.175636337435442</v>
      </c>
      <c r="L61" s="9"/>
      <c r="M61" s="6"/>
      <c r="N61" s="6">
        <f t="shared" si="36"/>
        <v>71.30965026903213</v>
      </c>
      <c r="O61" s="6">
        <f t="shared" si="36"/>
        <v>44.12284610396363</v>
      </c>
      <c r="P61" s="6">
        <f t="shared" si="36"/>
        <v>44.568531418145085</v>
      </c>
      <c r="Q61" s="15">
        <f t="shared" si="36"/>
        <v>0.3934287110936757</v>
      </c>
      <c r="R61" s="15">
        <f t="shared" si="24"/>
        <v>0.04456853141814508</v>
      </c>
      <c r="S61" s="6">
        <f t="shared" si="30"/>
        <v>98.05076911991918</v>
      </c>
      <c r="T61" s="6">
        <f t="shared" si="30"/>
        <v>60.61320272867731</v>
      </c>
      <c r="U61" s="6">
        <f t="shared" si="30"/>
        <v>64.42664126910587</v>
      </c>
      <c r="V61" s="15">
        <f t="shared" si="30"/>
        <v>0.6294859377498812</v>
      </c>
      <c r="W61" s="15">
        <f t="shared" si="25"/>
        <v>0.06442664126910587</v>
      </c>
      <c r="X61" s="6">
        <f t="shared" si="31"/>
        <v>133.70559425443523</v>
      </c>
      <c r="Y61" s="6">
        <f t="shared" si="31"/>
        <v>82.89746843774985</v>
      </c>
      <c r="Z61" s="6">
        <f t="shared" si="31"/>
        <v>111.4213285453627</v>
      </c>
      <c r="AA61" s="15">
        <f t="shared" si="31"/>
        <v>1.022914648843557</v>
      </c>
      <c r="AB61" s="15">
        <f t="shared" si="26"/>
        <v>0.1114213285453627</v>
      </c>
      <c r="AC61" s="6">
        <f t="shared" si="32"/>
        <v>222.8426570907254</v>
      </c>
      <c r="AD61" s="6">
        <f t="shared" si="32"/>
        <v>138.16244739624975</v>
      </c>
      <c r="AE61" s="6">
        <f t="shared" si="32"/>
        <v>222.8426570907254</v>
      </c>
      <c r="AF61" s="15">
        <f t="shared" si="32"/>
        <v>1.5737148443747029</v>
      </c>
      <c r="AG61" s="15">
        <f t="shared" si="27"/>
        <v>0.2228426570907254</v>
      </c>
      <c r="AH61" s="6">
        <f t="shared" si="33"/>
        <v>445.6853141814508</v>
      </c>
      <c r="AI61" s="6">
        <f t="shared" si="33"/>
        <v>276.3248947924995</v>
      </c>
      <c r="AJ61" s="3"/>
      <c r="AK61" s="3"/>
      <c r="AL61" s="3"/>
      <c r="AM61" s="3"/>
      <c r="AN61" s="3"/>
      <c r="AO61" s="3"/>
      <c r="AP61" s="3"/>
    </row>
    <row r="62" spans="1:42" ht="15.75">
      <c r="A62" s="3" t="s">
        <v>77</v>
      </c>
      <c r="B62" s="14">
        <f>24.5*6.94</f>
        <v>170.03</v>
      </c>
      <c r="C62" s="5">
        <f>SQRT((24.5+14.48)/14.73)</f>
        <v>1.6267452375490954</v>
      </c>
      <c r="D62" s="3"/>
      <c r="E62" s="3"/>
      <c r="F62" s="3"/>
      <c r="G62" s="3"/>
      <c r="H62" s="21">
        <f t="shared" si="35"/>
        <v>19.11920910741644</v>
      </c>
      <c r="I62" s="6">
        <f t="shared" si="35"/>
        <v>11.978299681754878</v>
      </c>
      <c r="J62" s="6">
        <f t="shared" si="29"/>
        <v>41.463345052228426</v>
      </c>
      <c r="K62" s="6">
        <f>$C62*K$6</f>
        <v>23.956599363509756</v>
      </c>
      <c r="L62" s="9"/>
      <c r="M62" s="6"/>
      <c r="N62" s="6">
        <f t="shared" si="36"/>
        <v>73.71261342618388</v>
      </c>
      <c r="O62" s="6">
        <f t="shared" si="36"/>
        <v>45.60967955745127</v>
      </c>
      <c r="P62" s="6">
        <f t="shared" si="36"/>
        <v>46.07038339136492</v>
      </c>
      <c r="Q62" s="15">
        <f t="shared" si="36"/>
        <v>0.40668630938727385</v>
      </c>
      <c r="R62" s="15">
        <f t="shared" si="24"/>
        <v>0.04607038339136492</v>
      </c>
      <c r="S62" s="6">
        <f t="shared" si="30"/>
        <v>101.35484346100282</v>
      </c>
      <c r="T62" s="6">
        <f t="shared" si="30"/>
        <v>62.65572141225629</v>
      </c>
      <c r="U62" s="6">
        <f t="shared" si="30"/>
        <v>66.59766363037981</v>
      </c>
      <c r="V62" s="15">
        <f t="shared" si="30"/>
        <v>0.6506980950196382</v>
      </c>
      <c r="W62" s="15">
        <f t="shared" si="25"/>
        <v>0.06659766363037982</v>
      </c>
      <c r="X62" s="6">
        <f t="shared" si="31"/>
        <v>138.21115017409474</v>
      </c>
      <c r="Y62" s="6">
        <f t="shared" si="31"/>
        <v>85.69091310793875</v>
      </c>
      <c r="Z62" s="6">
        <f t="shared" si="31"/>
        <v>115.17595847841228</v>
      </c>
      <c r="AA62" s="15">
        <f t="shared" si="31"/>
        <v>1.057384404406912</v>
      </c>
      <c r="AB62" s="15">
        <f t="shared" si="26"/>
        <v>0.11517595847841228</v>
      </c>
      <c r="AC62" s="6">
        <f t="shared" si="32"/>
        <v>230.35191695682457</v>
      </c>
      <c r="AD62" s="6">
        <f t="shared" si="32"/>
        <v>142.81818851323123</v>
      </c>
      <c r="AE62" s="6">
        <f t="shared" si="32"/>
        <v>230.35191695682457</v>
      </c>
      <c r="AF62" s="15">
        <f t="shared" si="32"/>
        <v>1.6267452375490954</v>
      </c>
      <c r="AG62" s="15">
        <f t="shared" si="27"/>
        <v>0.23035191695682455</v>
      </c>
      <c r="AH62" s="6">
        <f t="shared" si="33"/>
        <v>460.70383391364913</v>
      </c>
      <c r="AI62" s="6">
        <f t="shared" si="33"/>
        <v>285.63637702646247</v>
      </c>
      <c r="AJ62" s="3"/>
      <c r="AK62" s="3"/>
      <c r="AL62" s="3"/>
      <c r="AM62" s="3"/>
      <c r="AN62" s="3"/>
      <c r="AO62" s="3"/>
      <c r="AP62" s="3"/>
    </row>
    <row r="63" spans="1:42" ht="18">
      <c r="A63" s="7" t="s">
        <v>58</v>
      </c>
      <c r="B63" s="17">
        <f>25*6.94</f>
        <v>173.5</v>
      </c>
      <c r="C63" s="5">
        <f>SQRT((25+14.48)/14.73)</f>
        <v>1.6371451979544565</v>
      </c>
      <c r="D63" s="3"/>
      <c r="E63" s="3"/>
      <c r="F63" s="3"/>
      <c r="G63" s="3"/>
      <c r="H63" s="21">
        <f t="shared" si="35"/>
        <v>19.241440304477468</v>
      </c>
      <c r="I63" s="6">
        <f t="shared" si="35"/>
        <v>12.054878263046124</v>
      </c>
      <c r="J63" s="6">
        <f t="shared" si="29"/>
        <v>41.728424756698125</v>
      </c>
      <c r="K63" s="6">
        <f>$C63*K$6</f>
        <v>24.109756526092248</v>
      </c>
      <c r="L63" s="6"/>
      <c r="M63" s="6"/>
      <c r="N63" s="6">
        <f t="shared" si="36"/>
        <v>74.18386623413</v>
      </c>
      <c r="O63" s="6">
        <f t="shared" si="36"/>
        <v>45.901267232367935</v>
      </c>
      <c r="P63" s="6">
        <f t="shared" si="36"/>
        <v>46.36491639633125</v>
      </c>
      <c r="Q63" s="15">
        <f t="shared" si="36"/>
        <v>0.4092862994886141</v>
      </c>
      <c r="R63" s="15">
        <f t="shared" si="24"/>
        <v>0.04636491639633125</v>
      </c>
      <c r="S63" s="6">
        <f t="shared" si="30"/>
        <v>102.00281607192875</v>
      </c>
      <c r="T63" s="6">
        <f t="shared" si="30"/>
        <v>63.056286299010495</v>
      </c>
      <c r="U63" s="6">
        <f t="shared" si="30"/>
        <v>67.02342978531199</v>
      </c>
      <c r="V63" s="15">
        <f t="shared" si="30"/>
        <v>0.6548580791817826</v>
      </c>
      <c r="W63" s="15">
        <f t="shared" si="25"/>
        <v>0.06702342978531199</v>
      </c>
      <c r="X63" s="6">
        <f t="shared" si="31"/>
        <v>139.09474918899375</v>
      </c>
      <c r="Y63" s="6">
        <f t="shared" si="31"/>
        <v>86.23874449717611</v>
      </c>
      <c r="Z63" s="6">
        <f t="shared" si="31"/>
        <v>115.91229099082811</v>
      </c>
      <c r="AA63" s="15">
        <f t="shared" si="31"/>
        <v>1.0641443786703968</v>
      </c>
      <c r="AB63" s="15">
        <f t="shared" si="26"/>
        <v>0.11591229099082812</v>
      </c>
      <c r="AC63" s="6">
        <f t="shared" si="32"/>
        <v>231.82458198165622</v>
      </c>
      <c r="AD63" s="6">
        <f t="shared" si="32"/>
        <v>143.73124082862688</v>
      </c>
      <c r="AE63" s="6">
        <f t="shared" si="32"/>
        <v>231.82458198165622</v>
      </c>
      <c r="AF63" s="15">
        <f t="shared" si="32"/>
        <v>1.6371451979544565</v>
      </c>
      <c r="AG63" s="15">
        <f t="shared" si="27"/>
        <v>0.23182458198165623</v>
      </c>
      <c r="AH63" s="6">
        <f t="shared" si="33"/>
        <v>463.64916396331245</v>
      </c>
      <c r="AI63" s="6">
        <f t="shared" si="33"/>
        <v>287.46248165725376</v>
      </c>
      <c r="AJ63" s="3"/>
      <c r="AK63" s="3"/>
      <c r="AL63" s="3"/>
      <c r="AM63" s="3"/>
      <c r="AN63" s="3"/>
      <c r="AO63" s="3"/>
      <c r="AP63" s="3"/>
    </row>
    <row r="64" spans="1:42" ht="15">
      <c r="A64" s="3"/>
      <c r="B64" s="3"/>
      <c r="C64" s="3"/>
      <c r="D64" s="3" t="s">
        <v>78</v>
      </c>
      <c r="E64" s="3"/>
      <c r="F64" s="3"/>
      <c r="G64" s="3"/>
      <c r="H64" s="3" t="s">
        <v>79</v>
      </c>
      <c r="I64" s="3"/>
      <c r="J64" s="3"/>
      <c r="K64" s="3"/>
      <c r="L64" s="3" t="s">
        <v>80</v>
      </c>
      <c r="M64" s="3"/>
      <c r="N64" s="3" t="s">
        <v>81</v>
      </c>
      <c r="O64" s="3"/>
      <c r="P64" s="3" t="s">
        <v>82</v>
      </c>
      <c r="Q64" s="3"/>
      <c r="R64" s="3"/>
      <c r="S64" s="3"/>
      <c r="T64" s="3"/>
      <c r="U64" s="3" t="s">
        <v>81</v>
      </c>
      <c r="V64" s="3"/>
      <c r="W64" s="3"/>
      <c r="X64" s="3"/>
      <c r="Y64" s="3"/>
      <c r="Z64" s="3" t="s">
        <v>81</v>
      </c>
      <c r="AA64" s="3"/>
      <c r="AB64" s="3"/>
      <c r="AC64" s="3"/>
      <c r="AD64" s="3"/>
      <c r="AE64" s="3" t="s">
        <v>81</v>
      </c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 ht="15">
      <c r="A65" s="3"/>
      <c r="B65" s="3"/>
      <c r="C65" s="3"/>
      <c r="D65" s="3" t="s">
        <v>83</v>
      </c>
      <c r="E65" s="3"/>
      <c r="F65" s="3"/>
      <c r="G65" s="3"/>
      <c r="H65" s="3" t="s">
        <v>84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</sheetData>
  <sheetProtection password="CA83" sheet="1" objects="1" scenarios="1"/>
  <printOptions/>
  <pageMargins left="0.25" right="0.25" top="0.25" bottom="0.25" header="0.5" footer="0.5"/>
  <pageSetup horizontalDpi="600" verticalDpi="600" orientation="landscape" r:id="rId2"/>
  <ignoredErrors>
    <ignoredError sqref="F7:F15 D6:E6 F16:F49 F5 G6 H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Invensys Energy Metering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Mohney</dc:creator>
  <cp:keywords>lock</cp:keywords>
  <dc:description/>
  <cp:lastModifiedBy>Bobbie Mohney</cp:lastModifiedBy>
  <cp:lastPrinted>2006-10-19T15:04:13Z</cp:lastPrinted>
  <dcterms:created xsi:type="dcterms:W3CDTF">2000-09-20T20:31:33Z</dcterms:created>
  <dcterms:modified xsi:type="dcterms:W3CDTF">2008-08-13T15:32:05Z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