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<sst xmlns="http://schemas.openxmlformats.org/spreadsheetml/2006/main" count="68" uniqueCount="63">
  <si>
    <t>The numbers in the chart below are calculated and may vary from the published values which are based on performance testing.</t>
  </si>
  <si>
    <t>Capacity Pressure Multiplier</t>
  </si>
  <si>
    <t>415</t>
  </si>
  <si>
    <t>7" wc (.25 psig)</t>
  </si>
  <si>
    <t>8" wc</t>
  </si>
  <si>
    <t>9" wc</t>
  </si>
  <si>
    <t>10" wc</t>
  </si>
  <si>
    <t>11" wc</t>
  </si>
  <si>
    <t>12" wc</t>
  </si>
  <si>
    <t>13" wc</t>
  </si>
  <si>
    <t>14" wc (.5 psig)</t>
  </si>
  <si>
    <t>15" wc</t>
  </si>
  <si>
    <t>16" wc</t>
  </si>
  <si>
    <t>17" wc</t>
  </si>
  <si>
    <t>18" wc</t>
  </si>
  <si>
    <t>19" wc</t>
  </si>
  <si>
    <t>20" wc</t>
  </si>
  <si>
    <t>21" wc (.75 psig)</t>
  </si>
  <si>
    <t>22" wc</t>
  </si>
  <si>
    <t>23" wc</t>
  </si>
  <si>
    <t>24" wc</t>
  </si>
  <si>
    <t>25" wc</t>
  </si>
  <si>
    <t>26" wc</t>
  </si>
  <si>
    <t>27" wc</t>
  </si>
  <si>
    <t>28" wc (1 psig)</t>
  </si>
  <si>
    <t>1.25 psig</t>
  </si>
  <si>
    <t>1.5 psig</t>
  </si>
  <si>
    <t>1.75 psig</t>
  </si>
  <si>
    <t>2 psig</t>
  </si>
  <si>
    <t>2.25 psig</t>
  </si>
  <si>
    <t>2.5 psig</t>
  </si>
  <si>
    <t>2.75 psig</t>
  </si>
  <si>
    <t>3 psig</t>
  </si>
  <si>
    <t>3.25 psig</t>
  </si>
  <si>
    <t>3.5 psig</t>
  </si>
  <si>
    <t>3.75 psig</t>
  </si>
  <si>
    <t>4 psig</t>
  </si>
  <si>
    <t>4.25 psig</t>
  </si>
  <si>
    <t>4.5 psig</t>
  </si>
  <si>
    <t>4.75 psig</t>
  </si>
  <si>
    <t>5 psig</t>
  </si>
  <si>
    <t>6 psig</t>
  </si>
  <si>
    <t>7 psig</t>
  </si>
  <si>
    <t>8 psig</t>
  </si>
  <si>
    <t>9 psig</t>
  </si>
  <si>
    <t>10 psig</t>
  </si>
  <si>
    <t>11 psig</t>
  </si>
  <si>
    <t>12 psig</t>
  </si>
  <si>
    <t>13 psig</t>
  </si>
  <si>
    <t>14 psig</t>
  </si>
  <si>
    <t>15 psig</t>
  </si>
  <si>
    <t>20 psig</t>
  </si>
  <si>
    <t>25 psig</t>
  </si>
  <si>
    <t>Line Pressure</t>
  </si>
  <si>
    <t>R-275**</t>
  </si>
  <si>
    <t>** Data is provided for reference only at the request of the customer and does not imply any type of warranty or recommendations of use.</t>
  </si>
  <si>
    <t>R-275 Standard MAOP Pressure - 5 psig, 10 psig Optional; 415 Standard MAOP - 10 psig, 25 psig Optional</t>
  </si>
  <si>
    <t>Capacity scfh 
1" wc diff* 
0.6 SG Gas</t>
  </si>
  <si>
    <t>Capacity scfh
½" wc diff 
0.6 SG Gas</t>
  </si>
  <si>
    <t>Capacity scfh  
2" wc diff* 
0.6 SG Gas</t>
  </si>
  <si>
    <t>Maximum
Dial Rate (acfh)
@ 1" wc diff</t>
  </si>
  <si>
    <t>Maximum
Dial Rate (acfh)
@ 2" wc diff</t>
  </si>
  <si>
    <t>Base pressure 14.73 psia, Base temperature 60°F, 0.6 SG Natural Gas, Capacities stated in standard cubic feet unless otherwise noted.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</si>
</sst>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6" fillId="0" borderId="0" xfId="0" applyFont="1" applyAlignment="1" applyProtection="1">
      <alignment/>
      <protection/>
    </xf>
    <xf numFmtId="1" fontId="2" fillId="0" borderId="10" xfId="0" applyNumberFormat="1" applyFont="1" applyBorder="1" applyAlignment="1" applyProtection="1">
      <alignment horizontal="center"/>
      <protection/>
    </xf>
    <xf numFmtId="165" fontId="2" fillId="0" borderId="10" xfId="0" applyNumberFormat="1" applyFont="1" applyBorder="1" applyAlignment="1" applyProtection="1">
      <alignment horizontal="center"/>
      <protection/>
    </xf>
    <xf numFmtId="165" fontId="5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1" fontId="2" fillId="0" borderId="12" xfId="0" applyNumberFormat="1" applyFont="1" applyBorder="1" applyAlignment="1" applyProtection="1">
      <alignment horizontal="center"/>
      <protection/>
    </xf>
    <xf numFmtId="165" fontId="2" fillId="0" borderId="11" xfId="0" applyNumberFormat="1" applyFont="1" applyBorder="1" applyAlignment="1" applyProtection="1">
      <alignment horizontal="center"/>
      <protection/>
    </xf>
    <xf numFmtId="165" fontId="5" fillId="0" borderId="11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165" fontId="5" fillId="0" borderId="13" xfId="0" applyNumberFormat="1" applyFont="1" applyBorder="1" applyAlignment="1" applyProtection="1">
      <alignment horizontal="center"/>
      <protection/>
    </xf>
    <xf numFmtId="1" fontId="5" fillId="0" borderId="14" xfId="0" applyNumberFormat="1" applyFont="1" applyBorder="1" applyAlignment="1" applyProtection="1">
      <alignment horizontal="center"/>
      <protection/>
    </xf>
    <xf numFmtId="1" fontId="2" fillId="0" borderId="14" xfId="0" applyNumberFormat="1" applyFont="1" applyBorder="1" applyAlignment="1" applyProtection="1">
      <alignment horizontal="center"/>
      <protection/>
    </xf>
    <xf numFmtId="165" fontId="5" fillId="0" borderId="14" xfId="0" applyNumberFormat="1" applyFont="1" applyBorder="1" applyAlignment="1" applyProtection="1">
      <alignment horizontal="center"/>
      <protection/>
    </xf>
    <xf numFmtId="1" fontId="2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65" fontId="2" fillId="0" borderId="16" xfId="0" applyNumberFormat="1" applyFont="1" applyBorder="1" applyAlignment="1" applyProtection="1">
      <alignment horizontal="center"/>
      <protection/>
    </xf>
    <xf numFmtId="165" fontId="5" fillId="0" borderId="16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4" fillId="0" borderId="22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center" wrapText="1"/>
      <protection/>
    </xf>
    <xf numFmtId="164" fontId="6" fillId="0" borderId="12" xfId="0" applyNumberFormat="1" applyFont="1" applyBorder="1" applyAlignment="1" applyProtection="1">
      <alignment horizontal="center"/>
      <protection/>
    </xf>
    <xf numFmtId="164" fontId="6" fillId="0" borderId="15" xfId="0" applyNumberFormat="1" applyFont="1" applyBorder="1" applyAlignment="1" applyProtection="1">
      <alignment horizontal="center"/>
      <protection/>
    </xf>
    <xf numFmtId="0" fontId="40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0</xdr:col>
      <xdr:colOff>1181100</xdr:colOff>
      <xdr:row>0</xdr:row>
      <xdr:rowOff>542925</xdr:rowOff>
    </xdr:to>
    <xdr:pic>
      <xdr:nvPicPr>
        <xdr:cNvPr id="1" name="Picture 6" descr="Sensus_RGB_T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03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8"/>
  <sheetViews>
    <sheetView tabSelected="1" zoomScalePageLayoutView="0" workbookViewId="0" topLeftCell="A1">
      <selection activeCell="O2" sqref="O2"/>
    </sheetView>
  </sheetViews>
  <sheetFormatPr defaultColWidth="9.140625" defaultRowHeight="15"/>
  <cols>
    <col min="1" max="1" width="18.28125" style="0" customWidth="1"/>
    <col min="2" max="2" width="8.28125" style="0" bestFit="1" customWidth="1"/>
    <col min="3" max="7" width="11.28125" style="0" customWidth="1"/>
    <col min="8" max="8" width="1.28515625" style="0" customWidth="1"/>
    <col min="9" max="13" width="11.28125" style="0" customWidth="1"/>
  </cols>
  <sheetData>
    <row r="1" ht="45" customHeight="1" thickBot="1"/>
    <row r="2" spans="3:13" ht="21" customHeight="1" thickBot="1">
      <c r="C2" s="43" t="s">
        <v>54</v>
      </c>
      <c r="D2" s="44"/>
      <c r="E2" s="44"/>
      <c r="F2" s="44"/>
      <c r="G2" s="45"/>
      <c r="H2" s="30"/>
      <c r="I2" s="43" t="s">
        <v>2</v>
      </c>
      <c r="J2" s="44"/>
      <c r="K2" s="44"/>
      <c r="L2" s="44"/>
      <c r="M2" s="45"/>
    </row>
    <row r="3" spans="1:13" ht="52.5" thickBot="1">
      <c r="A3" s="31" t="s">
        <v>53</v>
      </c>
      <c r="B3" s="38" t="s">
        <v>1</v>
      </c>
      <c r="C3" s="32" t="s">
        <v>58</v>
      </c>
      <c r="D3" s="33" t="s">
        <v>57</v>
      </c>
      <c r="E3" s="33" t="s">
        <v>60</v>
      </c>
      <c r="F3" s="33" t="s">
        <v>59</v>
      </c>
      <c r="G3" s="34" t="s">
        <v>61</v>
      </c>
      <c r="H3" s="35"/>
      <c r="I3" s="32" t="s">
        <v>58</v>
      </c>
      <c r="J3" s="33" t="s">
        <v>57</v>
      </c>
      <c r="K3" s="33" t="s">
        <v>60</v>
      </c>
      <c r="L3" s="33" t="s">
        <v>59</v>
      </c>
      <c r="M3" s="34" t="s">
        <v>61</v>
      </c>
    </row>
    <row r="4" spans="1:13" ht="15.75">
      <c r="A4" s="36" t="s">
        <v>3</v>
      </c>
      <c r="B4" s="39">
        <f>SQRT((7/28+14.48)/14.73)</f>
        <v>1</v>
      </c>
      <c r="C4" s="11">
        <v>275</v>
      </c>
      <c r="D4" s="7">
        <v>410</v>
      </c>
      <c r="E4" s="7">
        <f>$D4/($B4^2)</f>
        <v>410</v>
      </c>
      <c r="F4" s="7">
        <v>600</v>
      </c>
      <c r="G4" s="12">
        <f>$F4/($B4^2)</f>
        <v>600</v>
      </c>
      <c r="H4" s="25"/>
      <c r="I4" s="11">
        <v>415</v>
      </c>
      <c r="J4" s="7">
        <v>620</v>
      </c>
      <c r="K4" s="7">
        <f>$J4/($B4^2)</f>
        <v>620</v>
      </c>
      <c r="L4" s="7">
        <v>900</v>
      </c>
      <c r="M4" s="12">
        <f>$L4/($B4^2)</f>
        <v>900</v>
      </c>
    </row>
    <row r="5" spans="1:13" ht="15.75">
      <c r="A5" s="36" t="s">
        <v>4</v>
      </c>
      <c r="B5" s="39">
        <f>SQRT((8/28+14.48)/14.73)</f>
        <v>1.0012115636031276</v>
      </c>
      <c r="C5" s="13">
        <f>$B5*275</f>
        <v>275.33317999086006</v>
      </c>
      <c r="D5" s="7">
        <f>$B5*D$4</f>
        <v>410.4967410772823</v>
      </c>
      <c r="E5" s="7">
        <f aca="true" t="shared" si="0" ref="E5:E46">$D5/($B5^2)</f>
        <v>409.50386002785</v>
      </c>
      <c r="F5" s="8">
        <f>$B5*F$4</f>
        <v>600.7269381618765</v>
      </c>
      <c r="G5" s="12">
        <f aca="true" t="shared" si="1" ref="G5:G46">$F5/($B5^2)</f>
        <v>599.2739415041707</v>
      </c>
      <c r="H5" s="26"/>
      <c r="I5" s="13">
        <f>$B5*I$4</f>
        <v>415.50279889529793</v>
      </c>
      <c r="J5" s="7">
        <f>$B5*J$4</f>
        <v>620.7511694339391</v>
      </c>
      <c r="K5" s="7">
        <f aca="true" t="shared" si="2" ref="K5:K53">$J5/($B5^2)</f>
        <v>619.2497395543098</v>
      </c>
      <c r="L5" s="8">
        <f>$B5*900</f>
        <v>901.0904072428148</v>
      </c>
      <c r="M5" s="12">
        <f aca="true" t="shared" si="3" ref="M5:M36">$L5/(B5^2)</f>
        <v>898.910912256256</v>
      </c>
    </row>
    <row r="6" spans="1:13" ht="15.75">
      <c r="A6" s="36" t="s">
        <v>5</v>
      </c>
      <c r="B6" s="39">
        <f>SQRT((9/28+14.48)/14.73)</f>
        <v>1.0024216628670986</v>
      </c>
      <c r="C6" s="13">
        <f>B6*275</f>
        <v>275.6659572884521</v>
      </c>
      <c r="D6" s="7">
        <f aca="true" t="shared" si="4" ref="D6:F46">$B6*D$4</f>
        <v>410.9928817755104</v>
      </c>
      <c r="E6" s="7">
        <f t="shared" si="0"/>
        <v>409.00951684077677</v>
      </c>
      <c r="F6" s="8">
        <f t="shared" si="4"/>
        <v>601.4529977202591</v>
      </c>
      <c r="G6" s="12">
        <f t="shared" si="1"/>
        <v>598.5505124499172</v>
      </c>
      <c r="H6" s="26"/>
      <c r="I6" s="13">
        <f aca="true" t="shared" si="5" ref="I6:I53">B6*415</f>
        <v>416.0049900898459</v>
      </c>
      <c r="J6" s="7">
        <f aca="true" t="shared" si="6" ref="J6:J36">$B6*J$4</f>
        <v>621.5014309776011</v>
      </c>
      <c r="K6" s="7">
        <f t="shared" si="2"/>
        <v>618.5021961982478</v>
      </c>
      <c r="L6" s="8">
        <f aca="true" t="shared" si="7" ref="L6:L53">B6*900</f>
        <v>902.1794965803887</v>
      </c>
      <c r="M6" s="12">
        <f t="shared" si="3"/>
        <v>897.8257686748758</v>
      </c>
    </row>
    <row r="7" spans="1:13" ht="15.75">
      <c r="A7" s="36" t="s">
        <v>6</v>
      </c>
      <c r="B7" s="39">
        <f>SQRT((10/28+14.48)/14.73)</f>
        <v>1.0036303030886715</v>
      </c>
      <c r="C7" s="13">
        <f aca="true" t="shared" si="8" ref="C7:C46">B7*275</f>
        <v>275.99833334938467</v>
      </c>
      <c r="D7" s="7">
        <f t="shared" si="4"/>
        <v>411.4884242663553</v>
      </c>
      <c r="E7" s="7">
        <f t="shared" si="0"/>
        <v>408.51695961971785</v>
      </c>
      <c r="F7" s="8">
        <f t="shared" si="4"/>
        <v>602.1781818532029</v>
      </c>
      <c r="G7" s="12">
        <f t="shared" si="1"/>
        <v>597.8296970044652</v>
      </c>
      <c r="H7" s="26"/>
      <c r="I7" s="13">
        <f t="shared" si="5"/>
        <v>416.5065757817987</v>
      </c>
      <c r="J7" s="7">
        <f t="shared" si="6"/>
        <v>622.2507879149763</v>
      </c>
      <c r="K7" s="7">
        <f t="shared" si="2"/>
        <v>617.7573535712806</v>
      </c>
      <c r="L7" s="8">
        <f t="shared" si="7"/>
        <v>903.2672727798043</v>
      </c>
      <c r="M7" s="12">
        <f t="shared" si="3"/>
        <v>896.7445455066977</v>
      </c>
    </row>
    <row r="8" spans="1:13" ht="15.75">
      <c r="A8" s="36" t="s">
        <v>7</v>
      </c>
      <c r="B8" s="39">
        <f>SQRT((11/28+14.48)/14.73)</f>
        <v>1.0048374895327492</v>
      </c>
      <c r="C8" s="13">
        <f t="shared" si="8"/>
        <v>276.33030962150605</v>
      </c>
      <c r="D8" s="7">
        <f t="shared" si="4"/>
        <v>411.9833707084272</v>
      </c>
      <c r="E8" s="7">
        <f t="shared" si="0"/>
        <v>408.0261776365953</v>
      </c>
      <c r="F8" s="8">
        <f t="shared" si="4"/>
        <v>602.9024937196496</v>
      </c>
      <c r="G8" s="12">
        <f t="shared" si="1"/>
        <v>597.1114794681883</v>
      </c>
      <c r="H8" s="26"/>
      <c r="I8" s="13">
        <f t="shared" si="5"/>
        <v>417.0075581560909</v>
      </c>
      <c r="J8" s="7">
        <f t="shared" si="6"/>
        <v>622.9992435103045</v>
      </c>
      <c r="K8" s="7">
        <f t="shared" si="2"/>
        <v>617.0151954504612</v>
      </c>
      <c r="L8" s="8">
        <f t="shared" si="7"/>
        <v>904.3537405794743</v>
      </c>
      <c r="M8" s="12">
        <f t="shared" si="3"/>
        <v>895.6672192022825</v>
      </c>
    </row>
    <row r="9" spans="1:13" ht="15.75">
      <c r="A9" s="36" t="s">
        <v>8</v>
      </c>
      <c r="B9" s="39">
        <f>SQRT((12/28+14.48)/14.73)</f>
        <v>1.0060432274326474</v>
      </c>
      <c r="C9" s="13">
        <f t="shared" si="8"/>
        <v>276.661887543978</v>
      </c>
      <c r="D9" s="7">
        <f t="shared" si="4"/>
        <v>412.4777232473854</v>
      </c>
      <c r="E9" s="7">
        <f t="shared" si="0"/>
        <v>407.5371602533338</v>
      </c>
      <c r="F9" s="8">
        <f t="shared" si="4"/>
        <v>603.6259364595884</v>
      </c>
      <c r="G9" s="12">
        <f t="shared" si="1"/>
        <v>596.3958442731714</v>
      </c>
      <c r="H9" s="26"/>
      <c r="I9" s="13">
        <f t="shared" si="5"/>
        <v>417.50793938454865</v>
      </c>
      <c r="J9" s="7">
        <f t="shared" si="6"/>
        <v>623.7468010082414</v>
      </c>
      <c r="K9" s="7">
        <f t="shared" si="2"/>
        <v>616.2757057489438</v>
      </c>
      <c r="L9" s="8">
        <f t="shared" si="7"/>
        <v>905.4389046893826</v>
      </c>
      <c r="M9" s="12">
        <f t="shared" si="3"/>
        <v>894.5937664097571</v>
      </c>
    </row>
    <row r="10" spans="1:13" ht="15.75">
      <c r="A10" s="36" t="s">
        <v>9</v>
      </c>
      <c r="B10" s="39">
        <f>SQRT((13/28+14.48)/14.73)</f>
        <v>1.0072475219903583</v>
      </c>
      <c r="C10" s="13">
        <f t="shared" si="8"/>
        <v>276.9930685473485</v>
      </c>
      <c r="D10" s="7">
        <f t="shared" si="4"/>
        <v>412.9714840160469</v>
      </c>
      <c r="E10" s="7">
        <f t="shared" si="0"/>
        <v>407.04989692089276</v>
      </c>
      <c r="F10" s="8">
        <f t="shared" si="4"/>
        <v>604.348513194215</v>
      </c>
      <c r="G10" s="12">
        <f t="shared" si="1"/>
        <v>595.6827759817944</v>
      </c>
      <c r="H10" s="26"/>
      <c r="I10" s="13">
        <f t="shared" si="5"/>
        <v>418.00772162599867</v>
      </c>
      <c r="J10" s="7">
        <f t="shared" si="6"/>
        <v>624.4934636340221</v>
      </c>
      <c r="K10" s="7">
        <f t="shared" si="2"/>
        <v>615.5388685145208</v>
      </c>
      <c r="L10" s="8">
        <f t="shared" si="7"/>
        <v>906.5227697913225</v>
      </c>
      <c r="M10" s="12">
        <f t="shared" si="3"/>
        <v>893.5241639726916</v>
      </c>
    </row>
    <row r="11" spans="1:13" ht="15.75">
      <c r="A11" s="36" t="s">
        <v>10</v>
      </c>
      <c r="B11" s="39">
        <f>SQRT((14/28+14.48)/14.73)</f>
        <v>1.0084503783768128</v>
      </c>
      <c r="C11" s="13">
        <f t="shared" si="8"/>
        <v>277.3238540536235</v>
      </c>
      <c r="D11" s="7">
        <f t="shared" si="4"/>
        <v>413.4646551344933</v>
      </c>
      <c r="E11" s="7">
        <f t="shared" si="0"/>
        <v>406.56437717831005</v>
      </c>
      <c r="F11" s="8">
        <f t="shared" si="4"/>
        <v>605.0702270260877</v>
      </c>
      <c r="G11" s="12">
        <f t="shared" si="1"/>
        <v>594.9722592853317</v>
      </c>
      <c r="H11" s="26"/>
      <c r="I11" s="13">
        <f t="shared" si="5"/>
        <v>418.50690702637735</v>
      </c>
      <c r="J11" s="7">
        <f t="shared" si="6"/>
        <v>625.2392345936239</v>
      </c>
      <c r="K11" s="7">
        <f t="shared" si="2"/>
        <v>614.8046679281761</v>
      </c>
      <c r="L11" s="8">
        <f t="shared" si="7"/>
        <v>907.6053405391316</v>
      </c>
      <c r="M11" s="12">
        <f t="shared" si="3"/>
        <v>892.4583889279976</v>
      </c>
    </row>
    <row r="12" spans="1:13" ht="15.75">
      <c r="A12" s="36" t="s">
        <v>11</v>
      </c>
      <c r="B12" s="39">
        <f>SQRT((15/28+14.48)/14.73)</f>
        <v>1.0096518017321399</v>
      </c>
      <c r="C12" s="13">
        <f t="shared" si="8"/>
        <v>277.6542454763385</v>
      </c>
      <c r="D12" s="7">
        <f t="shared" si="4"/>
        <v>413.95723871017736</v>
      </c>
      <c r="E12" s="7">
        <f t="shared" si="0"/>
        <v>406.080590651759</v>
      </c>
      <c r="F12" s="8">
        <f t="shared" si="4"/>
        <v>605.7910810392839</v>
      </c>
      <c r="G12" s="12">
        <f t="shared" si="1"/>
        <v>594.2642790025741</v>
      </c>
      <c r="H12" s="26"/>
      <c r="I12" s="13">
        <f t="shared" si="5"/>
        <v>419.00549771883806</v>
      </c>
      <c r="J12" s="7">
        <f t="shared" si="6"/>
        <v>625.9841170739268</v>
      </c>
      <c r="K12" s="7">
        <f t="shared" si="2"/>
        <v>614.07308830266</v>
      </c>
      <c r="L12" s="8">
        <f t="shared" si="7"/>
        <v>908.6866215589258</v>
      </c>
      <c r="M12" s="12">
        <f t="shared" si="3"/>
        <v>891.3964185038611</v>
      </c>
    </row>
    <row r="13" spans="1:13" ht="15.75">
      <c r="A13" s="36" t="s">
        <v>12</v>
      </c>
      <c r="B13" s="39">
        <f>SQRT((16/28+14.48)/14.73)</f>
        <v>1.0108517971659228</v>
      </c>
      <c r="C13" s="13">
        <f t="shared" si="8"/>
        <v>277.98424422062874</v>
      </c>
      <c r="D13" s="7">
        <f t="shared" si="4"/>
        <v>414.44923683802836</v>
      </c>
      <c r="E13" s="7">
        <f t="shared" si="0"/>
        <v>405.59852705361715</v>
      </c>
      <c r="F13" s="8">
        <f t="shared" si="4"/>
        <v>606.5110782995537</v>
      </c>
      <c r="G13" s="12">
        <f t="shared" si="1"/>
        <v>593.5588200784641</v>
      </c>
      <c r="H13" s="26"/>
      <c r="I13" s="13">
        <f t="shared" si="5"/>
        <v>419.503495823858</v>
      </c>
      <c r="J13" s="7">
        <f t="shared" si="6"/>
        <v>626.7281142428722</v>
      </c>
      <c r="K13" s="7">
        <f t="shared" si="2"/>
        <v>613.3441140810796</v>
      </c>
      <c r="L13" s="8">
        <f t="shared" si="7"/>
        <v>909.7666174493305</v>
      </c>
      <c r="M13" s="12">
        <f t="shared" si="3"/>
        <v>890.3382301176962</v>
      </c>
    </row>
    <row r="14" spans="1:13" ht="15.75">
      <c r="A14" s="36" t="s">
        <v>13</v>
      </c>
      <c r="B14" s="39">
        <f>SQRT((17/28+14.48)/14.73)</f>
        <v>1.012050369757452</v>
      </c>
      <c r="C14" s="13">
        <f t="shared" si="8"/>
        <v>278.31385168329933</v>
      </c>
      <c r="D14" s="7">
        <f t="shared" si="4"/>
        <v>414.9406516005554</v>
      </c>
      <c r="E14" s="7">
        <f t="shared" si="0"/>
        <v>405.1181761815477</v>
      </c>
      <c r="F14" s="8">
        <f t="shared" si="4"/>
        <v>607.2302218544712</v>
      </c>
      <c r="G14" s="12">
        <f t="shared" si="1"/>
        <v>592.8558675827527</v>
      </c>
      <c r="H14" s="26"/>
      <c r="I14" s="13">
        <f t="shared" si="5"/>
        <v>420.0009034493426</v>
      </c>
      <c r="J14" s="7">
        <f t="shared" si="6"/>
        <v>627.4712292496203</v>
      </c>
      <c r="K14" s="7">
        <f t="shared" si="2"/>
        <v>612.6177298355111</v>
      </c>
      <c r="L14" s="8">
        <f t="shared" si="7"/>
        <v>910.8453327817069</v>
      </c>
      <c r="M14" s="12">
        <f t="shared" si="3"/>
        <v>889.2838013741291</v>
      </c>
    </row>
    <row r="15" spans="1:13" ht="15.75">
      <c r="A15" s="36" t="s">
        <v>14</v>
      </c>
      <c r="B15" s="39">
        <f>SQRT((18/28+14.48)/14.73)</f>
        <v>1.0132475245559769</v>
      </c>
      <c r="C15" s="13">
        <f t="shared" si="8"/>
        <v>278.64306925289367</v>
      </c>
      <c r="D15" s="7">
        <f t="shared" si="4"/>
        <v>415.4314850679505</v>
      </c>
      <c r="E15" s="7">
        <f t="shared" si="0"/>
        <v>404.6395279175928</v>
      </c>
      <c r="F15" s="8">
        <f t="shared" si="4"/>
        <v>607.9485147335861</v>
      </c>
      <c r="G15" s="12">
        <f t="shared" si="1"/>
        <v>592.1554067086723</v>
      </c>
      <c r="H15" s="26"/>
      <c r="I15" s="13">
        <f t="shared" si="5"/>
        <v>420.4977226907304</v>
      </c>
      <c r="J15" s="7">
        <f t="shared" si="6"/>
        <v>628.2134652247057</v>
      </c>
      <c r="K15" s="7">
        <f t="shared" si="2"/>
        <v>611.8939202656281</v>
      </c>
      <c r="L15" s="8">
        <f t="shared" si="7"/>
        <v>911.9227721003792</v>
      </c>
      <c r="M15" s="12">
        <f t="shared" si="3"/>
        <v>888.2331100630086</v>
      </c>
    </row>
    <row r="16" spans="1:13" ht="15.75">
      <c r="A16" s="36" t="s">
        <v>15</v>
      </c>
      <c r="B16" s="39">
        <f>SQRT((19/28+14.48)/14.73)</f>
        <v>1.014443266580953</v>
      </c>
      <c r="C16" s="13">
        <f t="shared" si="8"/>
        <v>278.9718983097621</v>
      </c>
      <c r="D16" s="7">
        <f t="shared" si="4"/>
        <v>415.92173929819074</v>
      </c>
      <c r="E16" s="7">
        <f t="shared" si="0"/>
        <v>404.16257222727774</v>
      </c>
      <c r="F16" s="8">
        <f t="shared" si="4"/>
        <v>608.6659599485719</v>
      </c>
      <c r="G16" s="12">
        <f t="shared" si="1"/>
        <v>591.4574227716259</v>
      </c>
      <c r="H16" s="26"/>
      <c r="I16" s="13">
        <f t="shared" si="5"/>
        <v>420.9939556310955</v>
      </c>
      <c r="J16" s="7">
        <f t="shared" si="6"/>
        <v>628.9548252801909</v>
      </c>
      <c r="K16" s="7">
        <f t="shared" si="2"/>
        <v>611.1726701973467</v>
      </c>
      <c r="L16" s="8">
        <f t="shared" si="7"/>
        <v>912.9989399228577</v>
      </c>
      <c r="M16" s="12">
        <f t="shared" si="3"/>
        <v>887.1861341574389</v>
      </c>
    </row>
    <row r="17" spans="1:13" ht="15.75">
      <c r="A17" s="36" t="s">
        <v>16</v>
      </c>
      <c r="B17" s="39">
        <f>SQRT((20/28+14.48)/14.73)</f>
        <v>1.0156376008222883</v>
      </c>
      <c r="C17" s="13">
        <f t="shared" si="8"/>
        <v>279.30034022612926</v>
      </c>
      <c r="D17" s="7">
        <f t="shared" si="4"/>
        <v>416.4114163371382</v>
      </c>
      <c r="E17" s="7">
        <f t="shared" si="0"/>
        <v>403.68729915872814</v>
      </c>
      <c r="F17" s="8">
        <f t="shared" si="4"/>
        <v>609.3825604933729</v>
      </c>
      <c r="G17" s="12">
        <f t="shared" si="1"/>
        <v>590.7619012078948</v>
      </c>
      <c r="H17" s="26"/>
      <c r="I17" s="13">
        <f t="shared" si="5"/>
        <v>421.4896043412496</v>
      </c>
      <c r="J17" s="7">
        <f t="shared" si="6"/>
        <v>629.6953125098187</v>
      </c>
      <c r="K17" s="7">
        <f t="shared" si="2"/>
        <v>610.4539645814913</v>
      </c>
      <c r="L17" s="8">
        <f t="shared" si="7"/>
        <v>914.0738407400595</v>
      </c>
      <c r="M17" s="12">
        <f t="shared" si="3"/>
        <v>886.1428518118423</v>
      </c>
    </row>
    <row r="18" spans="1:13" ht="15.75">
      <c r="A18" s="36" t="s">
        <v>17</v>
      </c>
      <c r="B18" s="39">
        <f>SQRT((21/28+14.48)/14.73)</f>
        <v>1.016830532240586</v>
      </c>
      <c r="C18" s="13">
        <f t="shared" si="8"/>
        <v>279.62839636616116</v>
      </c>
      <c r="D18" s="7">
        <f t="shared" si="4"/>
        <v>416.90051821864023</v>
      </c>
      <c r="E18" s="7">
        <f t="shared" si="0"/>
        <v>403.21369884179717</v>
      </c>
      <c r="F18" s="8">
        <f t="shared" si="4"/>
        <v>610.0983193443516</v>
      </c>
      <c r="G18" s="12">
        <f t="shared" si="1"/>
        <v>590.0688275733618</v>
      </c>
      <c r="H18" s="26"/>
      <c r="I18" s="13">
        <f t="shared" si="5"/>
        <v>421.9846708798432</v>
      </c>
      <c r="J18" s="7">
        <f t="shared" si="6"/>
        <v>630.4349299891633</v>
      </c>
      <c r="K18" s="7">
        <f t="shared" si="2"/>
        <v>609.7377884924738</v>
      </c>
      <c r="L18" s="8">
        <f t="shared" si="7"/>
        <v>915.1474790165273</v>
      </c>
      <c r="M18" s="12">
        <f t="shared" si="3"/>
        <v>885.1032413600426</v>
      </c>
    </row>
    <row r="19" spans="1:13" ht="15.75">
      <c r="A19" s="36" t="s">
        <v>18</v>
      </c>
      <c r="B19" s="39">
        <f>SQRT((22/28+14.48)/14.73)</f>
        <v>1.0180220657673846</v>
      </c>
      <c r="C19" s="13">
        <f t="shared" si="8"/>
        <v>279.95606808603077</v>
      </c>
      <c r="D19" s="7">
        <f t="shared" si="4"/>
        <v>417.3890469646277</v>
      </c>
      <c r="E19" s="7">
        <f t="shared" si="0"/>
        <v>402.7417614872052</v>
      </c>
      <c r="F19" s="8">
        <f t="shared" si="4"/>
        <v>610.8132394604307</v>
      </c>
      <c r="G19" s="12">
        <f t="shared" si="1"/>
        <v>589.3781875422516</v>
      </c>
      <c r="H19" s="26"/>
      <c r="I19" s="13">
        <f t="shared" si="5"/>
        <v>422.4791572934646</v>
      </c>
      <c r="J19" s="7">
        <f t="shared" si="6"/>
        <v>631.1736807757785</v>
      </c>
      <c r="K19" s="7">
        <f t="shared" si="2"/>
        <v>609.0241271269933</v>
      </c>
      <c r="L19" s="8">
        <f t="shared" si="7"/>
        <v>916.2198591906462</v>
      </c>
      <c r="M19" s="12">
        <f t="shared" si="3"/>
        <v>884.0672813133773</v>
      </c>
    </row>
    <row r="20" spans="1:13" ht="15.75">
      <c r="A20" s="36" t="s">
        <v>19</v>
      </c>
      <c r="B20" s="39">
        <f>SQRT((23/28+14.48)/14.73)</f>
        <v>1.0192122063053957</v>
      </c>
      <c r="C20" s="13">
        <f t="shared" si="8"/>
        <v>280.2833567339838</v>
      </c>
      <c r="D20" s="7">
        <f t="shared" si="4"/>
        <v>417.8770045852122</v>
      </c>
      <c r="E20" s="7">
        <f t="shared" si="0"/>
        <v>402.2714773856898</v>
      </c>
      <c r="F20" s="8">
        <f t="shared" si="4"/>
        <v>611.5273237832374</v>
      </c>
      <c r="G20" s="12">
        <f t="shared" si="1"/>
        <v>588.6899669058876</v>
      </c>
      <c r="H20" s="26"/>
      <c r="I20" s="13">
        <f t="shared" si="5"/>
        <v>422.9730656167392</v>
      </c>
      <c r="J20" s="7">
        <f t="shared" si="6"/>
        <v>631.9115679093453</v>
      </c>
      <c r="K20" s="7">
        <f t="shared" si="2"/>
        <v>608.3129658027505</v>
      </c>
      <c r="L20" s="8">
        <f t="shared" si="7"/>
        <v>917.2909856748561</v>
      </c>
      <c r="M20" s="12">
        <f t="shared" si="3"/>
        <v>883.0349503588313</v>
      </c>
    </row>
    <row r="21" spans="1:13" ht="15.75">
      <c r="A21" s="36" t="s">
        <v>20</v>
      </c>
      <c r="B21" s="39">
        <f>SQRT((24/28+14.48)/14.73)</f>
        <v>1.0204009587287401</v>
      </c>
      <c r="C21" s="13">
        <f t="shared" si="8"/>
        <v>280.61026365040357</v>
      </c>
      <c r="D21" s="7">
        <f t="shared" si="4"/>
        <v>418.36439307878345</v>
      </c>
      <c r="E21" s="7">
        <f t="shared" si="0"/>
        <v>401.8028369071662</v>
      </c>
      <c r="F21" s="8">
        <f t="shared" si="4"/>
        <v>612.2405752372441</v>
      </c>
      <c r="G21" s="12">
        <f t="shared" si="1"/>
        <v>588.0041515714628</v>
      </c>
      <c r="H21" s="26"/>
      <c r="I21" s="13">
        <f t="shared" si="5"/>
        <v>423.46639787242714</v>
      </c>
      <c r="J21" s="7">
        <f t="shared" si="6"/>
        <v>632.6485944118189</v>
      </c>
      <c r="K21" s="7">
        <f t="shared" si="2"/>
        <v>607.6042899571781</v>
      </c>
      <c r="L21" s="8">
        <f t="shared" si="7"/>
        <v>918.3608628558661</v>
      </c>
      <c r="M21" s="12">
        <f t="shared" si="3"/>
        <v>882.0062273571941</v>
      </c>
    </row>
    <row r="22" spans="1:13" ht="15.75">
      <c r="A22" s="36" t="s">
        <v>21</v>
      </c>
      <c r="B22" s="39">
        <f>SQRT((25/28+14.48)/14.73)</f>
        <v>1.0215883278831799</v>
      </c>
      <c r="C22" s="13">
        <f t="shared" si="8"/>
        <v>280.93679016787445</v>
      </c>
      <c r="D22" s="7">
        <f t="shared" si="4"/>
        <v>418.85121443210375</v>
      </c>
      <c r="E22" s="7">
        <f t="shared" si="0"/>
        <v>401.3358304998999</v>
      </c>
      <c r="F22" s="8">
        <f t="shared" si="4"/>
        <v>612.9529967299079</v>
      </c>
      <c r="G22" s="12">
        <f t="shared" si="1"/>
        <v>587.320727560829</v>
      </c>
      <c r="H22" s="26"/>
      <c r="I22" s="13">
        <f t="shared" si="5"/>
        <v>423.95915607151966</v>
      </c>
      <c r="J22" s="7">
        <f t="shared" si="6"/>
        <v>633.3847632875716</v>
      </c>
      <c r="K22" s="7">
        <f t="shared" si="2"/>
        <v>606.89808514619</v>
      </c>
      <c r="L22" s="8">
        <f t="shared" si="7"/>
        <v>919.4294950948619</v>
      </c>
      <c r="M22" s="12">
        <f t="shared" si="3"/>
        <v>880.9810913412437</v>
      </c>
    </row>
    <row r="23" spans="1:13" ht="15.75">
      <c r="A23" s="36" t="s">
        <v>22</v>
      </c>
      <c r="B23" s="39">
        <f>SQRT((26/28+14.48)/14.73)</f>
        <v>1.0227743185863494</v>
      </c>
      <c r="C23" s="13">
        <f t="shared" si="8"/>
        <v>281.26293761124606</v>
      </c>
      <c r="D23" s="7">
        <f t="shared" si="4"/>
        <v>419.3374706204032</v>
      </c>
      <c r="E23" s="7">
        <f t="shared" si="0"/>
        <v>400.8704486896882</v>
      </c>
      <c r="F23" s="8">
        <f t="shared" si="4"/>
        <v>613.6645911518096</v>
      </c>
      <c r="G23" s="12">
        <f t="shared" si="1"/>
        <v>586.6396810092999</v>
      </c>
      <c r="H23" s="26"/>
      <c r="I23" s="13">
        <f t="shared" si="5"/>
        <v>424.451342213335</v>
      </c>
      <c r="J23" s="7">
        <f t="shared" si="6"/>
        <v>634.1200775235366</v>
      </c>
      <c r="K23" s="7">
        <f t="shared" si="2"/>
        <v>606.1943370429432</v>
      </c>
      <c r="L23" s="8">
        <f t="shared" si="7"/>
        <v>920.4968867277145</v>
      </c>
      <c r="M23" s="12">
        <f t="shared" si="3"/>
        <v>879.9595215139499</v>
      </c>
    </row>
    <row r="24" spans="1:13" ht="15.75">
      <c r="A24" s="36" t="s">
        <v>23</v>
      </c>
      <c r="B24" s="39">
        <f>SQRT((27/28+14.48)/14.73)</f>
        <v>1.0239589356279823</v>
      </c>
      <c r="C24" s="13">
        <f t="shared" si="8"/>
        <v>281.5887072976951</v>
      </c>
      <c r="D24" s="7">
        <f t="shared" si="4"/>
        <v>419.82316360747274</v>
      </c>
      <c r="E24" s="7">
        <f t="shared" si="0"/>
        <v>400.4066820790539</v>
      </c>
      <c r="F24" s="8">
        <f t="shared" si="4"/>
        <v>614.3753613767894</v>
      </c>
      <c r="G24" s="12">
        <f t="shared" si="1"/>
        <v>585.9609981644692</v>
      </c>
      <c r="H24" s="26"/>
      <c r="I24" s="13">
        <f t="shared" si="5"/>
        <v>424.9429582856127</v>
      </c>
      <c r="J24" s="7">
        <f t="shared" si="6"/>
        <v>634.854540089349</v>
      </c>
      <c r="K24" s="7">
        <f t="shared" si="2"/>
        <v>605.4930314366181</v>
      </c>
      <c r="L24" s="8">
        <f t="shared" si="7"/>
        <v>921.5630420651842</v>
      </c>
      <c r="M24" s="12">
        <f t="shared" si="3"/>
        <v>878.9414972467038</v>
      </c>
    </row>
    <row r="25" spans="1:13" ht="15.75">
      <c r="A25" s="36" t="s">
        <v>24</v>
      </c>
      <c r="B25" s="39">
        <f>SQRT((28/28+14.48)/14.73)</f>
        <v>1.0251421837701393</v>
      </c>
      <c r="C25" s="13">
        <f t="shared" si="8"/>
        <v>281.91410053678834</v>
      </c>
      <c r="D25" s="7">
        <f t="shared" si="4"/>
        <v>420.30829534575713</v>
      </c>
      <c r="E25" s="7">
        <f t="shared" si="0"/>
        <v>399.9445213464472</v>
      </c>
      <c r="F25" s="8">
        <f t="shared" si="4"/>
        <v>615.0853102620836</v>
      </c>
      <c r="G25" s="12">
        <f t="shared" si="1"/>
        <v>585.2846653850446</v>
      </c>
      <c r="H25" s="26"/>
      <c r="I25" s="13">
        <f t="shared" si="5"/>
        <v>425.43400626460783</v>
      </c>
      <c r="J25" s="7">
        <f t="shared" si="6"/>
        <v>635.5881539374864</v>
      </c>
      <c r="K25" s="7">
        <f t="shared" si="2"/>
        <v>604.7941542312128</v>
      </c>
      <c r="L25" s="8">
        <f t="shared" si="7"/>
        <v>922.6279653931254</v>
      </c>
      <c r="M25" s="12">
        <f t="shared" si="3"/>
        <v>877.926998077567</v>
      </c>
    </row>
    <row r="26" spans="1:13" ht="15.75">
      <c r="A26" s="36" t="s">
        <v>25</v>
      </c>
      <c r="B26" s="39">
        <f>SQRT((1.25+14.48)/14.73)</f>
        <v>1.0333869858834814</v>
      </c>
      <c r="C26" s="13">
        <f t="shared" si="8"/>
        <v>284.18142111795737</v>
      </c>
      <c r="D26" s="7">
        <f t="shared" si="4"/>
        <v>423.68866421222737</v>
      </c>
      <c r="E26" s="7">
        <f t="shared" si="0"/>
        <v>396.7535933786466</v>
      </c>
      <c r="F26" s="8">
        <f t="shared" si="4"/>
        <v>620.0321915300889</v>
      </c>
      <c r="G26" s="12">
        <f t="shared" si="1"/>
        <v>580.6150147004585</v>
      </c>
      <c r="H26" s="26"/>
      <c r="I26" s="13">
        <f t="shared" si="5"/>
        <v>428.8555991416448</v>
      </c>
      <c r="J26" s="7">
        <f t="shared" si="6"/>
        <v>640.6999312477585</v>
      </c>
      <c r="K26" s="7">
        <f t="shared" si="2"/>
        <v>599.9688485238071</v>
      </c>
      <c r="L26" s="8">
        <f t="shared" si="7"/>
        <v>930.0482872951333</v>
      </c>
      <c r="M26" s="12">
        <f t="shared" si="3"/>
        <v>870.9225220506877</v>
      </c>
    </row>
    <row r="27" spans="1:13" ht="15.75">
      <c r="A27" s="36" t="s">
        <v>26</v>
      </c>
      <c r="B27" s="39">
        <f>SQRT((1.5+14.48)/14.73)</f>
        <v>1.0415665260758353</v>
      </c>
      <c r="C27" s="13">
        <f t="shared" si="8"/>
        <v>286.4307946708547</v>
      </c>
      <c r="D27" s="7">
        <f t="shared" si="4"/>
        <v>427.04227569109247</v>
      </c>
      <c r="E27" s="7">
        <f t="shared" si="0"/>
        <v>393.63784236106324</v>
      </c>
      <c r="F27" s="8">
        <f t="shared" si="4"/>
        <v>624.9399156455012</v>
      </c>
      <c r="G27" s="12">
        <f t="shared" si="1"/>
        <v>576.0553790649707</v>
      </c>
      <c r="H27" s="26"/>
      <c r="I27" s="13">
        <f t="shared" si="5"/>
        <v>432.25010832147166</v>
      </c>
      <c r="J27" s="7">
        <f t="shared" si="6"/>
        <v>645.7712461670179</v>
      </c>
      <c r="K27" s="7">
        <f t="shared" si="2"/>
        <v>595.257225033803</v>
      </c>
      <c r="L27" s="8">
        <f t="shared" si="7"/>
        <v>937.4098734682518</v>
      </c>
      <c r="M27" s="12">
        <f t="shared" si="3"/>
        <v>864.083068597456</v>
      </c>
    </row>
    <row r="28" spans="1:13" ht="15.75">
      <c r="A28" s="36" t="s">
        <v>27</v>
      </c>
      <c r="B28" s="39">
        <f>SQRT((1.75+14.48)/14.73)</f>
        <v>1.0496823299884688</v>
      </c>
      <c r="C28" s="13">
        <f t="shared" si="8"/>
        <v>288.6626407468289</v>
      </c>
      <c r="D28" s="7">
        <f t="shared" si="4"/>
        <v>430.36975529527217</v>
      </c>
      <c r="E28" s="7">
        <f t="shared" si="0"/>
        <v>390.59436201474784</v>
      </c>
      <c r="F28" s="8">
        <f t="shared" si="4"/>
        <v>629.8093979930812</v>
      </c>
      <c r="G28" s="12">
        <f t="shared" si="1"/>
        <v>571.6015053874359</v>
      </c>
      <c r="H28" s="26"/>
      <c r="I28" s="13">
        <f t="shared" si="5"/>
        <v>435.61816694521457</v>
      </c>
      <c r="J28" s="7">
        <f t="shared" si="6"/>
        <v>650.8030445928506</v>
      </c>
      <c r="K28" s="7">
        <f t="shared" si="2"/>
        <v>590.6548889003504</v>
      </c>
      <c r="L28" s="8">
        <f t="shared" si="7"/>
        <v>944.7140969896219</v>
      </c>
      <c r="M28" s="12">
        <f t="shared" si="3"/>
        <v>857.4022580811538</v>
      </c>
    </row>
    <row r="29" spans="1:13" ht="15.75">
      <c r="A29" s="36" t="s">
        <v>28</v>
      </c>
      <c r="B29" s="39">
        <f>SQRT((2+14.48)/14.73)</f>
        <v>1.057735864731057</v>
      </c>
      <c r="C29" s="13">
        <f t="shared" si="8"/>
        <v>290.8773628010407</v>
      </c>
      <c r="D29" s="7">
        <f t="shared" si="4"/>
        <v>433.6717045397334</v>
      </c>
      <c r="E29" s="7">
        <f t="shared" si="0"/>
        <v>387.62040096300206</v>
      </c>
      <c r="F29" s="8">
        <f t="shared" si="4"/>
        <v>634.6415188386343</v>
      </c>
      <c r="G29" s="12">
        <f t="shared" si="1"/>
        <v>567.2493672629298</v>
      </c>
      <c r="H29" s="26"/>
      <c r="I29" s="13">
        <f t="shared" si="5"/>
        <v>438.9603838633887</v>
      </c>
      <c r="J29" s="7">
        <f t="shared" si="6"/>
        <v>655.7962361332554</v>
      </c>
      <c r="K29" s="7">
        <f t="shared" si="2"/>
        <v>586.1576795050275</v>
      </c>
      <c r="L29" s="8">
        <f t="shared" si="7"/>
        <v>951.9622782579513</v>
      </c>
      <c r="M29" s="12">
        <f t="shared" si="3"/>
        <v>850.8740508943946</v>
      </c>
    </row>
    <row r="30" spans="1:13" ht="15.75">
      <c r="A30" s="36" t="s">
        <v>29</v>
      </c>
      <c r="B30" s="39">
        <f>SQRT((2.25+14.48)/14.73)</f>
        <v>1.0657285419780658</v>
      </c>
      <c r="C30" s="13">
        <f t="shared" si="8"/>
        <v>293.07534904396806</v>
      </c>
      <c r="D30" s="7">
        <f t="shared" si="4"/>
        <v>436.94870221100695</v>
      </c>
      <c r="E30" s="7">
        <f t="shared" si="0"/>
        <v>384.71335227544125</v>
      </c>
      <c r="F30" s="8">
        <f t="shared" si="4"/>
        <v>639.4371251868395</v>
      </c>
      <c r="G30" s="12">
        <f t="shared" si="1"/>
        <v>562.9951496713775</v>
      </c>
      <c r="H30" s="26"/>
      <c r="I30" s="13">
        <f t="shared" si="5"/>
        <v>442.2773449208973</v>
      </c>
      <c r="J30" s="7">
        <f t="shared" si="6"/>
        <v>660.7516960264007</v>
      </c>
      <c r="K30" s="7">
        <f t="shared" si="2"/>
        <v>581.7616546604233</v>
      </c>
      <c r="L30" s="8">
        <f t="shared" si="7"/>
        <v>959.1556877802592</v>
      </c>
      <c r="M30" s="12">
        <f t="shared" si="3"/>
        <v>844.4927245070662</v>
      </c>
    </row>
    <row r="31" spans="1:13" ht="15.75">
      <c r="A31" s="36" t="s">
        <v>30</v>
      </c>
      <c r="B31" s="39">
        <f>SQRT((2.5+14.48)/14.73)</f>
        <v>1.0736617208576595</v>
      </c>
      <c r="C31" s="13">
        <f t="shared" si="8"/>
        <v>295.2569732358564</v>
      </c>
      <c r="D31" s="7">
        <f t="shared" si="4"/>
        <v>440.2013055516404</v>
      </c>
      <c r="E31" s="7">
        <f t="shared" si="0"/>
        <v>381.8707438619353</v>
      </c>
      <c r="F31" s="8">
        <f t="shared" si="4"/>
        <v>644.1970325145958</v>
      </c>
      <c r="G31" s="12">
        <f t="shared" si="1"/>
        <v>558.8352349199054</v>
      </c>
      <c r="H31" s="26"/>
      <c r="I31" s="13">
        <f t="shared" si="5"/>
        <v>445.5696141559287</v>
      </c>
      <c r="J31" s="7">
        <f t="shared" si="6"/>
        <v>665.6702669317489</v>
      </c>
      <c r="K31" s="7">
        <f t="shared" si="2"/>
        <v>577.4630760839021</v>
      </c>
      <c r="L31" s="8">
        <f t="shared" si="7"/>
        <v>966.2955487718936</v>
      </c>
      <c r="M31" s="12">
        <f t="shared" si="3"/>
        <v>838.2528523798579</v>
      </c>
    </row>
    <row r="32" spans="1:13" ht="15.75">
      <c r="A32" s="36" t="s">
        <v>31</v>
      </c>
      <c r="B32" s="39">
        <f>SQRT((2.75+14.48)/14.73)</f>
        <v>1.0815367106498823</v>
      </c>
      <c r="C32" s="13">
        <f t="shared" si="8"/>
        <v>297.4225954287176</v>
      </c>
      <c r="D32" s="7">
        <f t="shared" si="4"/>
        <v>443.4300513664518</v>
      </c>
      <c r="E32" s="7">
        <f t="shared" si="0"/>
        <v>379.0902296359742</v>
      </c>
      <c r="F32" s="8">
        <f t="shared" si="4"/>
        <v>648.9220263899294</v>
      </c>
      <c r="G32" s="12">
        <f t="shared" si="1"/>
        <v>554.7661897111817</v>
      </c>
      <c r="H32" s="26"/>
      <c r="I32" s="13">
        <f t="shared" si="5"/>
        <v>448.8377349197012</v>
      </c>
      <c r="J32" s="7">
        <f t="shared" si="6"/>
        <v>670.552760602927</v>
      </c>
      <c r="K32" s="7">
        <f t="shared" si="2"/>
        <v>573.2583960348877</v>
      </c>
      <c r="L32" s="8">
        <f t="shared" si="7"/>
        <v>973.383039584894</v>
      </c>
      <c r="M32" s="12">
        <f t="shared" si="3"/>
        <v>832.1492845667725</v>
      </c>
    </row>
    <row r="33" spans="1:13" ht="15.75">
      <c r="A33" s="36" t="s">
        <v>32</v>
      </c>
      <c r="B33" s="39">
        <f>SQRT((3+14.48)/14.73)</f>
        <v>1.0893547733092759</v>
      </c>
      <c r="C33" s="13">
        <f t="shared" si="8"/>
        <v>299.5725626600509</v>
      </c>
      <c r="D33" s="7">
        <f t="shared" si="4"/>
        <v>446.6354570568031</v>
      </c>
      <c r="E33" s="7">
        <f t="shared" si="0"/>
        <v>376.36958137566995</v>
      </c>
      <c r="F33" s="8">
        <f t="shared" si="4"/>
        <v>653.6128639855656</v>
      </c>
      <c r="G33" s="12">
        <f t="shared" si="1"/>
        <v>550.7847532326878</v>
      </c>
      <c r="H33" s="26"/>
      <c r="I33" s="13">
        <f t="shared" si="5"/>
        <v>452.08223092334947</v>
      </c>
      <c r="J33" s="7">
        <f t="shared" si="6"/>
        <v>675.3999594517511</v>
      </c>
      <c r="K33" s="7">
        <f t="shared" si="2"/>
        <v>569.1442450071107</v>
      </c>
      <c r="L33" s="8">
        <f t="shared" si="7"/>
        <v>980.4192959783483</v>
      </c>
      <c r="M33" s="12">
        <f t="shared" si="3"/>
        <v>826.1771298490315</v>
      </c>
    </row>
    <row r="34" spans="1:13" ht="15.75">
      <c r="A34" s="36" t="s">
        <v>33</v>
      </c>
      <c r="B34" s="39">
        <f>SQRT((3.25+14.48)/14.73)</f>
        <v>1.097117125825698</v>
      </c>
      <c r="C34" s="13">
        <f t="shared" si="8"/>
        <v>301.70720960206694</v>
      </c>
      <c r="D34" s="7">
        <f t="shared" si="4"/>
        <v>449.81802158853617</v>
      </c>
      <c r="E34" s="7">
        <f t="shared" si="0"/>
        <v>373.7066812182256</v>
      </c>
      <c r="F34" s="8">
        <f t="shared" si="4"/>
        <v>658.2702754954188</v>
      </c>
      <c r="G34" s="12">
        <f t="shared" si="1"/>
        <v>546.8878261730131</v>
      </c>
      <c r="H34" s="26"/>
      <c r="I34" s="13">
        <f t="shared" si="5"/>
        <v>455.30360721766465</v>
      </c>
      <c r="J34" s="7">
        <f t="shared" si="6"/>
        <v>680.2126180119327</v>
      </c>
      <c r="K34" s="7">
        <f t="shared" si="2"/>
        <v>565.1174203787801</v>
      </c>
      <c r="L34" s="8">
        <f t="shared" si="7"/>
        <v>987.4054132431282</v>
      </c>
      <c r="M34" s="12">
        <f t="shared" si="3"/>
        <v>820.3317392595196</v>
      </c>
    </row>
    <row r="35" spans="1:13" ht="15.75">
      <c r="A35" s="36" t="s">
        <v>34</v>
      </c>
      <c r="B35" s="39">
        <f>SQRT((3.5+14.48)/14.73)</f>
        <v>1.1048249424358492</v>
      </c>
      <c r="C35" s="13">
        <f t="shared" si="8"/>
        <v>303.8268591698585</v>
      </c>
      <c r="D35" s="7">
        <f t="shared" si="4"/>
        <v>452.97822639869815</v>
      </c>
      <c r="E35" s="7">
        <f t="shared" si="0"/>
        <v>371.0995147304129</v>
      </c>
      <c r="F35" s="8">
        <f t="shared" si="4"/>
        <v>662.8949654615095</v>
      </c>
      <c r="G35" s="12">
        <f t="shared" si="1"/>
        <v>543.0724605810921</v>
      </c>
      <c r="H35" s="26"/>
      <c r="I35" s="13">
        <f t="shared" si="5"/>
        <v>458.5023511108774</v>
      </c>
      <c r="J35" s="7">
        <f t="shared" si="6"/>
        <v>684.9914643102264</v>
      </c>
      <c r="K35" s="7">
        <f t="shared" si="2"/>
        <v>561.1748759337951</v>
      </c>
      <c r="L35" s="8">
        <f t="shared" si="7"/>
        <v>994.3424481922642</v>
      </c>
      <c r="M35" s="12">
        <f t="shared" si="3"/>
        <v>814.608690871638</v>
      </c>
    </row>
    <row r="36" spans="1:13" ht="15.75">
      <c r="A36" s="36" t="s">
        <v>35</v>
      </c>
      <c r="B36" s="39">
        <f>SQRT((3.75+14.48)/14.73)</f>
        <v>1.1124793566968847</v>
      </c>
      <c r="C36" s="13">
        <f t="shared" si="8"/>
        <v>305.9318230916433</v>
      </c>
      <c r="D36" s="7">
        <f t="shared" si="4"/>
        <v>456.1165362457227</v>
      </c>
      <c r="E36" s="7">
        <f t="shared" si="0"/>
        <v>368.5461645035378</v>
      </c>
      <c r="F36" s="8">
        <f t="shared" si="4"/>
        <v>667.4876140181308</v>
      </c>
      <c r="G36" s="12">
        <f t="shared" si="1"/>
        <v>539.3358504929821</v>
      </c>
      <c r="H36" s="26"/>
      <c r="I36" s="13">
        <f t="shared" si="5"/>
        <v>461.67893302920714</v>
      </c>
      <c r="J36" s="7">
        <f t="shared" si="6"/>
        <v>689.7372011520686</v>
      </c>
      <c r="K36" s="7">
        <f t="shared" si="2"/>
        <v>557.3137121760816</v>
      </c>
      <c r="L36" s="8">
        <f t="shared" si="7"/>
        <v>1001.2314210271962</v>
      </c>
      <c r="M36" s="12">
        <f t="shared" si="3"/>
        <v>809.0037757394732</v>
      </c>
    </row>
    <row r="37" spans="1:13" ht="15.75">
      <c r="A37" s="36" t="s">
        <v>36</v>
      </c>
      <c r="B37" s="39">
        <f>SQRT((4+14.48)/14.73)</f>
        <v>1.120081463432482</v>
      </c>
      <c r="C37" s="13">
        <f t="shared" si="8"/>
        <v>308.02240244393255</v>
      </c>
      <c r="D37" s="7">
        <f t="shared" si="4"/>
        <v>459.23340000731764</v>
      </c>
      <c r="E37" s="7">
        <f t="shared" si="0"/>
        <v>366.04480422661203</v>
      </c>
      <c r="F37" s="8">
        <f t="shared" si="4"/>
        <v>672.0488780594892</v>
      </c>
      <c r="G37" s="12">
        <f t="shared" si="1"/>
        <v>535.6753232584566</v>
      </c>
      <c r="H37" s="26"/>
      <c r="I37" s="13">
        <f t="shared" si="5"/>
        <v>464.83380732448006</v>
      </c>
      <c r="J37" s="7">
        <f aca="true" t="shared" si="9" ref="J37:J53">$B37*J$4</f>
        <v>694.4505073281389</v>
      </c>
      <c r="K37" s="7">
        <f t="shared" si="2"/>
        <v>553.5311673670718</v>
      </c>
      <c r="L37" s="8">
        <f t="shared" si="7"/>
        <v>1008.0733170892338</v>
      </c>
      <c r="M37" s="12">
        <f aca="true" t="shared" si="10" ref="M37:M53">$L37/(B37^2)</f>
        <v>803.5129848876849</v>
      </c>
    </row>
    <row r="38" spans="1:13" ht="15.75">
      <c r="A38" s="36" t="s">
        <v>37</v>
      </c>
      <c r="B38" s="39">
        <f>SQRT((4.25+14.48)/14.73)</f>
        <v>1.1276323205608234</v>
      </c>
      <c r="C38" s="13">
        <f t="shared" si="8"/>
        <v>310.0988881542264</v>
      </c>
      <c r="D38" s="7">
        <f t="shared" si="4"/>
        <v>462.3292514299376</v>
      </c>
      <c r="E38" s="7">
        <f t="shared" si="0"/>
        <v>363.59369319610147</v>
      </c>
      <c r="F38" s="8">
        <f t="shared" si="4"/>
        <v>676.579392336494</v>
      </c>
      <c r="G38" s="12">
        <f t="shared" si="1"/>
        <v>532.08833150649</v>
      </c>
      <c r="H38" s="26"/>
      <c r="I38" s="13">
        <f t="shared" si="5"/>
        <v>467.9674130327417</v>
      </c>
      <c r="J38" s="7">
        <f t="shared" si="9"/>
        <v>699.1320387477106</v>
      </c>
      <c r="K38" s="7">
        <f t="shared" si="2"/>
        <v>549.824609223373</v>
      </c>
      <c r="L38" s="8">
        <f t="shared" si="7"/>
        <v>1014.8690885047411</v>
      </c>
      <c r="M38" s="12">
        <f t="shared" si="10"/>
        <v>798.1324972597349</v>
      </c>
    </row>
    <row r="39" spans="1:13" ht="15.75">
      <c r="A39" s="36" t="s">
        <v>38</v>
      </c>
      <c r="B39" s="39">
        <f>SQRT((4.5+14.48)/14.73)</f>
        <v>1.1351329508131303</v>
      </c>
      <c r="C39" s="13">
        <f t="shared" si="8"/>
        <v>312.16156147361085</v>
      </c>
      <c r="D39" s="7">
        <f t="shared" si="4"/>
        <v>465.40450983338343</v>
      </c>
      <c r="E39" s="7">
        <f t="shared" si="0"/>
        <v>361.1911712247491</v>
      </c>
      <c r="F39" s="8">
        <f t="shared" si="4"/>
        <v>681.0797704878781</v>
      </c>
      <c r="G39" s="12">
        <f t="shared" si="1"/>
        <v>528.5724456947547</v>
      </c>
      <c r="H39" s="26"/>
      <c r="I39" s="13">
        <f t="shared" si="5"/>
        <v>471.08017458744905</v>
      </c>
      <c r="J39" s="7">
        <f t="shared" si="9"/>
        <v>703.7824295041407</v>
      </c>
      <c r="K39" s="7">
        <f t="shared" si="2"/>
        <v>546.1915272179132</v>
      </c>
      <c r="L39" s="8">
        <f t="shared" si="7"/>
        <v>1021.6196557318173</v>
      </c>
      <c r="M39" s="12">
        <f t="shared" si="10"/>
        <v>792.8586685421321</v>
      </c>
    </row>
    <row r="40" spans="1:13" ht="15.75">
      <c r="A40" s="36" t="s">
        <v>39</v>
      </c>
      <c r="B40" s="39">
        <f>SQRT((4.75+14.48)/14.73)</f>
        <v>1.142584343350661</v>
      </c>
      <c r="C40" s="13">
        <f t="shared" si="8"/>
        <v>314.2106944214318</v>
      </c>
      <c r="D40" s="7">
        <f t="shared" si="4"/>
        <v>468.45958077377105</v>
      </c>
      <c r="E40" s="7">
        <f t="shared" si="0"/>
        <v>358.8356539156342</v>
      </c>
      <c r="F40" s="8">
        <f t="shared" si="4"/>
        <v>685.5506060103967</v>
      </c>
      <c r="G40" s="12">
        <f t="shared" si="1"/>
        <v>525.1253471936111</v>
      </c>
      <c r="H40" s="26"/>
      <c r="I40" s="13">
        <f t="shared" si="5"/>
        <v>474.1725024905243</v>
      </c>
      <c r="J40" s="7">
        <f t="shared" si="9"/>
        <v>708.4022928774099</v>
      </c>
      <c r="K40" s="7">
        <f t="shared" si="2"/>
        <v>542.6295254333982</v>
      </c>
      <c r="L40" s="8">
        <f t="shared" si="7"/>
        <v>1028.325909015595</v>
      </c>
      <c r="M40" s="12">
        <f t="shared" si="10"/>
        <v>787.6880207904167</v>
      </c>
    </row>
    <row r="41" spans="1:13" ht="15.75">
      <c r="A41" s="36" t="s">
        <v>40</v>
      </c>
      <c r="B41" s="39">
        <f>SQRT((5+14.48)/14.73)</f>
        <v>1.1499874552874034</v>
      </c>
      <c r="C41" s="14">
        <f t="shared" si="8"/>
        <v>316.24655020403594</v>
      </c>
      <c r="D41" s="7">
        <f t="shared" si="4"/>
        <v>471.4948566678354</v>
      </c>
      <c r="E41" s="7">
        <f t="shared" si="0"/>
        <v>356.52562827090435</v>
      </c>
      <c r="F41" s="8">
        <f t="shared" si="4"/>
        <v>689.992473172442</v>
      </c>
      <c r="G41" s="12">
        <f t="shared" si="1"/>
        <v>521.7448218598599</v>
      </c>
      <c r="H41" s="27"/>
      <c r="I41" s="13">
        <f t="shared" si="5"/>
        <v>477.24479394427243</v>
      </c>
      <c r="J41" s="7">
        <f t="shared" si="9"/>
        <v>712.9922222781901</v>
      </c>
      <c r="K41" s="7">
        <f t="shared" si="2"/>
        <v>539.1363159218553</v>
      </c>
      <c r="L41" s="8">
        <f t="shared" si="7"/>
        <v>1034.9887097586632</v>
      </c>
      <c r="M41" s="12">
        <f t="shared" si="10"/>
        <v>782.61723278979</v>
      </c>
    </row>
    <row r="42" spans="1:13" ht="15.75">
      <c r="A42" s="36" t="s">
        <v>41</v>
      </c>
      <c r="B42" s="39">
        <f>SQRT((6+14.48)/14.73)</f>
        <v>1.1791351957734721</v>
      </c>
      <c r="C42" s="13">
        <f t="shared" si="8"/>
        <v>324.2621788377048</v>
      </c>
      <c r="D42" s="7">
        <f t="shared" si="4"/>
        <v>483.4454302671236</v>
      </c>
      <c r="E42" s="7">
        <f t="shared" si="0"/>
        <v>347.71246034349275</v>
      </c>
      <c r="F42" s="8">
        <f t="shared" si="4"/>
        <v>707.4811174640832</v>
      </c>
      <c r="G42" s="12">
        <f t="shared" si="1"/>
        <v>508.8475029416967</v>
      </c>
      <c r="H42" s="26"/>
      <c r="I42" s="13">
        <f t="shared" si="5"/>
        <v>489.34110624599094</v>
      </c>
      <c r="J42" s="7">
        <f t="shared" si="9"/>
        <v>731.0638213795527</v>
      </c>
      <c r="K42" s="7">
        <f t="shared" si="2"/>
        <v>525.8090863730865</v>
      </c>
      <c r="L42" s="8">
        <f t="shared" si="7"/>
        <v>1061.221676196125</v>
      </c>
      <c r="M42" s="12">
        <f t="shared" si="10"/>
        <v>763.2712544125451</v>
      </c>
    </row>
    <row r="43" spans="1:13" ht="15.75">
      <c r="A43" s="36" t="s">
        <v>42</v>
      </c>
      <c r="B43" s="39">
        <f>SQRT((7+14.48)/14.73)</f>
        <v>1.2075795926170216</v>
      </c>
      <c r="C43" s="13">
        <f t="shared" si="8"/>
        <v>332.08438796968096</v>
      </c>
      <c r="D43" s="7">
        <f t="shared" si="4"/>
        <v>495.1076329729789</v>
      </c>
      <c r="E43" s="7">
        <f t="shared" si="0"/>
        <v>339.5221337845427</v>
      </c>
      <c r="F43" s="8">
        <f t="shared" si="4"/>
        <v>724.547755570213</v>
      </c>
      <c r="G43" s="12">
        <f t="shared" si="1"/>
        <v>496.86165919689176</v>
      </c>
      <c r="H43" s="26"/>
      <c r="I43" s="13">
        <f t="shared" si="5"/>
        <v>501.145530936064</v>
      </c>
      <c r="J43" s="7">
        <f t="shared" si="9"/>
        <v>748.6993474225534</v>
      </c>
      <c r="K43" s="7">
        <f t="shared" si="2"/>
        <v>513.4237145034548</v>
      </c>
      <c r="L43" s="8">
        <f t="shared" si="7"/>
        <v>1086.8216333553194</v>
      </c>
      <c r="M43" s="12">
        <f t="shared" si="10"/>
        <v>745.2924887953376</v>
      </c>
    </row>
    <row r="44" spans="1:13" ht="15.75">
      <c r="A44" s="36" t="s">
        <v>43</v>
      </c>
      <c r="B44" s="39">
        <f>SQRT((8+14.48)/14.73)</f>
        <v>1.235369230270221</v>
      </c>
      <c r="C44" s="13">
        <f t="shared" si="8"/>
        <v>339.7265383243108</v>
      </c>
      <c r="D44" s="7">
        <f t="shared" si="4"/>
        <v>506.50138441079065</v>
      </c>
      <c r="E44" s="7">
        <f t="shared" si="0"/>
        <v>331.8845815111631</v>
      </c>
      <c r="F44" s="8">
        <f t="shared" si="4"/>
        <v>741.2215381621327</v>
      </c>
      <c r="G44" s="12">
        <f t="shared" si="1"/>
        <v>485.6847534309704</v>
      </c>
      <c r="H44" s="26"/>
      <c r="I44" s="13">
        <f t="shared" si="5"/>
        <v>512.6782305621417</v>
      </c>
      <c r="J44" s="7">
        <f t="shared" si="9"/>
        <v>765.9289227675371</v>
      </c>
      <c r="K44" s="7">
        <f t="shared" si="2"/>
        <v>501.87424521200273</v>
      </c>
      <c r="L44" s="8">
        <f t="shared" si="7"/>
        <v>1111.832307243199</v>
      </c>
      <c r="M44" s="12">
        <f t="shared" si="10"/>
        <v>728.5271301464556</v>
      </c>
    </row>
    <row r="45" spans="1:13" ht="15.75">
      <c r="A45" s="36" t="s">
        <v>44</v>
      </c>
      <c r="B45" s="39">
        <f>SQRT((9+14.48)/14.73)</f>
        <v>1.2625473447327769</v>
      </c>
      <c r="C45" s="13">
        <f t="shared" si="8"/>
        <v>347.2005198015136</v>
      </c>
      <c r="D45" s="7">
        <f t="shared" si="4"/>
        <v>517.6444113404385</v>
      </c>
      <c r="E45" s="7">
        <f t="shared" si="0"/>
        <v>324.7402972335886</v>
      </c>
      <c r="F45" s="8">
        <f t="shared" si="4"/>
        <v>757.5284068396661</v>
      </c>
      <c r="G45" s="12">
        <f t="shared" si="1"/>
        <v>475.22970326866624</v>
      </c>
      <c r="H45" s="26"/>
      <c r="I45" s="13">
        <f t="shared" si="5"/>
        <v>523.9571480641024</v>
      </c>
      <c r="J45" s="7">
        <f t="shared" si="9"/>
        <v>782.7793537343216</v>
      </c>
      <c r="K45" s="7">
        <f t="shared" si="2"/>
        <v>491.07069337762175</v>
      </c>
      <c r="L45" s="8">
        <f t="shared" si="7"/>
        <v>1136.2926102594993</v>
      </c>
      <c r="M45" s="12">
        <f t="shared" si="10"/>
        <v>712.8445549029994</v>
      </c>
    </row>
    <row r="46" spans="1:13" ht="15.75">
      <c r="A46" s="36" t="s">
        <v>45</v>
      </c>
      <c r="B46" s="39">
        <f>SQRT((10+14.48)/14.73)</f>
        <v>1.289152613263896</v>
      </c>
      <c r="C46" s="14">
        <f t="shared" si="8"/>
        <v>354.5169686475714</v>
      </c>
      <c r="D46" s="7">
        <f t="shared" si="4"/>
        <v>528.5525714381973</v>
      </c>
      <c r="E46" s="7">
        <f t="shared" si="0"/>
        <v>318.0383732550918</v>
      </c>
      <c r="F46" s="8">
        <f t="shared" si="4"/>
        <v>773.4915679583376</v>
      </c>
      <c r="G46" s="12">
        <f t="shared" si="1"/>
        <v>465.4220096415978</v>
      </c>
      <c r="H46" s="27"/>
      <c r="I46" s="14">
        <f t="shared" si="5"/>
        <v>534.9983345045168</v>
      </c>
      <c r="J46" s="7">
        <f t="shared" si="9"/>
        <v>799.2746202236154</v>
      </c>
      <c r="K46" s="7">
        <f t="shared" si="2"/>
        <v>480.93607662965104</v>
      </c>
      <c r="L46" s="9">
        <f t="shared" si="7"/>
        <v>1160.2373519375064</v>
      </c>
      <c r="M46" s="12">
        <f t="shared" si="10"/>
        <v>698.1330144623968</v>
      </c>
    </row>
    <row r="47" spans="1:13" ht="15.75">
      <c r="A47" s="36" t="s">
        <v>46</v>
      </c>
      <c r="B47" s="39">
        <f>SQRT((11+14.48)/14.73)</f>
        <v>1.3152198002153401</v>
      </c>
      <c r="C47" s="15"/>
      <c r="D47" s="10"/>
      <c r="E47" s="10"/>
      <c r="F47" s="10"/>
      <c r="G47" s="16"/>
      <c r="H47" s="28"/>
      <c r="I47" s="13">
        <f t="shared" si="5"/>
        <v>545.8162170893662</v>
      </c>
      <c r="J47" s="7">
        <f t="shared" si="9"/>
        <v>815.4362761335109</v>
      </c>
      <c r="K47" s="7">
        <f t="shared" si="2"/>
        <v>471.40409526870553</v>
      </c>
      <c r="L47" s="8">
        <f t="shared" si="7"/>
        <v>1183.6978201938061</v>
      </c>
      <c r="M47" s="12">
        <f t="shared" si="10"/>
        <v>684.2962673255403</v>
      </c>
    </row>
    <row r="48" spans="1:13" ht="15.75">
      <c r="A48" s="36" t="s">
        <v>47</v>
      </c>
      <c r="B48" s="39">
        <f>SQRT((12+14.48)/14.73)</f>
        <v>1.3407802897834626</v>
      </c>
      <c r="C48" s="15"/>
      <c r="D48" s="10"/>
      <c r="E48" s="10"/>
      <c r="F48" s="10"/>
      <c r="G48" s="16"/>
      <c r="H48" s="28"/>
      <c r="I48" s="13">
        <f t="shared" si="5"/>
        <v>556.423820260137</v>
      </c>
      <c r="J48" s="7">
        <f t="shared" si="9"/>
        <v>831.2837796657468</v>
      </c>
      <c r="K48" s="7">
        <f t="shared" si="2"/>
        <v>462.4172988850624</v>
      </c>
      <c r="L48" s="8">
        <f t="shared" si="7"/>
        <v>1206.7022608051163</v>
      </c>
      <c r="M48" s="12">
        <f t="shared" si="10"/>
        <v>671.2509177363809</v>
      </c>
    </row>
    <row r="49" spans="1:13" ht="15.75">
      <c r="A49" s="36" t="s">
        <v>48</v>
      </c>
      <c r="B49" s="39">
        <f>SQRT((13+14.48)/14.73)</f>
        <v>1.365862528977632</v>
      </c>
      <c r="C49" s="15"/>
      <c r="D49" s="10"/>
      <c r="E49" s="10"/>
      <c r="F49" s="10"/>
      <c r="G49" s="16"/>
      <c r="H49" s="28"/>
      <c r="I49" s="13">
        <f t="shared" si="5"/>
        <v>566.8329495257173</v>
      </c>
      <c r="J49" s="7">
        <f t="shared" si="9"/>
        <v>846.8347679661318</v>
      </c>
      <c r="K49" s="7">
        <f t="shared" si="2"/>
        <v>453.92562344036116</v>
      </c>
      <c r="L49" s="8">
        <f t="shared" si="7"/>
        <v>1229.276276079869</v>
      </c>
      <c r="M49" s="12">
        <f t="shared" si="10"/>
        <v>658.9242920908468</v>
      </c>
    </row>
    <row r="50" spans="1:13" ht="15.75">
      <c r="A50" s="36" t="s">
        <v>49</v>
      </c>
      <c r="B50" s="39">
        <f>SQRT((14+14.48)/14.73)</f>
        <v>1.3904923986338509</v>
      </c>
      <c r="C50" s="15"/>
      <c r="D50" s="10"/>
      <c r="E50" s="10"/>
      <c r="F50" s="10"/>
      <c r="G50" s="16"/>
      <c r="H50" s="28"/>
      <c r="I50" s="13">
        <f t="shared" si="5"/>
        <v>577.0543454330481</v>
      </c>
      <c r="J50" s="7">
        <f t="shared" si="9"/>
        <v>862.1052871529876</v>
      </c>
      <c r="K50" s="7">
        <f t="shared" si="2"/>
        <v>445.88521347484226</v>
      </c>
      <c r="L50" s="8">
        <f t="shared" si="7"/>
        <v>1251.4431587704657</v>
      </c>
      <c r="M50" s="12">
        <f t="shared" si="10"/>
        <v>647.2527292376742</v>
      </c>
    </row>
    <row r="51" spans="1:13" ht="15.75">
      <c r="A51" s="36" t="s">
        <v>50</v>
      </c>
      <c r="B51" s="39">
        <f>SQRT((15+14.48)/14.73)</f>
        <v>1.4146935262635039</v>
      </c>
      <c r="C51" s="15"/>
      <c r="D51" s="10"/>
      <c r="E51" s="10"/>
      <c r="F51" s="10"/>
      <c r="G51" s="16"/>
      <c r="H51" s="28"/>
      <c r="I51" s="13">
        <f t="shared" si="5"/>
        <v>587.0978133993541</v>
      </c>
      <c r="J51" s="7">
        <f t="shared" si="9"/>
        <v>877.1099862833725</v>
      </c>
      <c r="K51" s="7">
        <f t="shared" si="2"/>
        <v>438.257466009297</v>
      </c>
      <c r="L51" s="8">
        <f t="shared" si="7"/>
        <v>1273.2241736371534</v>
      </c>
      <c r="M51" s="12">
        <f t="shared" si="10"/>
        <v>636.1801925941407</v>
      </c>
    </row>
    <row r="52" spans="1:13" ht="15.75">
      <c r="A52" s="36" t="s">
        <v>51</v>
      </c>
      <c r="B52" s="39">
        <f>SQRT((20+14.48)/14.73)</f>
        <v>1.5299676748933624</v>
      </c>
      <c r="C52" s="15"/>
      <c r="D52" s="10"/>
      <c r="E52" s="10"/>
      <c r="F52" s="10"/>
      <c r="G52" s="16"/>
      <c r="H52" s="28"/>
      <c r="I52" s="13">
        <f t="shared" si="5"/>
        <v>634.9365850807454</v>
      </c>
      <c r="J52" s="7">
        <f t="shared" si="9"/>
        <v>948.5799584338847</v>
      </c>
      <c r="K52" s="7">
        <f t="shared" si="2"/>
        <v>405.23731982978893</v>
      </c>
      <c r="L52" s="8">
        <f t="shared" si="7"/>
        <v>1376.970907404026</v>
      </c>
      <c r="M52" s="12">
        <f t="shared" si="10"/>
        <v>588.2477223335645</v>
      </c>
    </row>
    <row r="53" spans="1:13" ht="16.5" thickBot="1">
      <c r="A53" s="37" t="s">
        <v>52</v>
      </c>
      <c r="B53" s="40">
        <f>SQRT((25+14.48)/14.73)</f>
        <v>1.6371451979544565</v>
      </c>
      <c r="C53" s="17"/>
      <c r="D53" s="18"/>
      <c r="E53" s="18"/>
      <c r="F53" s="18"/>
      <c r="G53" s="19"/>
      <c r="H53" s="29"/>
      <c r="I53" s="20">
        <f t="shared" si="5"/>
        <v>679.4152571510995</v>
      </c>
      <c r="J53" s="21">
        <f t="shared" si="9"/>
        <v>1015.030022731763</v>
      </c>
      <c r="K53" s="22">
        <f t="shared" si="2"/>
        <v>378.7080100009845</v>
      </c>
      <c r="L53" s="23">
        <f t="shared" si="7"/>
        <v>1473.4306781590108</v>
      </c>
      <c r="M53" s="24">
        <f t="shared" si="10"/>
        <v>549.7374338723968</v>
      </c>
    </row>
    <row r="54" spans="1:12" ht="15.7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6" t="s">
        <v>56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3" t="s">
        <v>0</v>
      </c>
      <c r="B56" s="3"/>
      <c r="C56" s="4"/>
      <c r="D56" s="5"/>
      <c r="E56" s="5"/>
      <c r="F56" s="5"/>
      <c r="G56" s="5"/>
      <c r="H56" s="5"/>
      <c r="I56" s="4"/>
      <c r="J56" s="4"/>
      <c r="K56" s="4"/>
      <c r="L56" s="4"/>
    </row>
    <row r="57" spans="1:12" ht="15">
      <c r="A57" s="42" t="s">
        <v>62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5">
      <c r="A58" s="41" t="s">
        <v>55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</sheetData>
  <sheetProtection/>
  <mergeCells count="4">
    <mergeCell ref="A58:L58"/>
    <mergeCell ref="A57:L57"/>
    <mergeCell ref="C2:G2"/>
    <mergeCell ref="I2:M2"/>
  </mergeCells>
  <printOptions/>
  <pageMargins left="0.3" right="0.2" top="0.5" bottom="0.3" header="0.3" footer="0.3"/>
  <pageSetup fitToHeight="1" fitToWidth="1"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Mohney, Bobbie</dc:creator>
  <cp:keywords/>
  <dc:description/>
  <cp:lastModifiedBy>Rick Schneider</cp:lastModifiedBy>
  <cp:lastPrinted>2010-06-04T13:58:38Z</cp:lastPrinted>
  <dcterms:created xsi:type="dcterms:W3CDTF">2010-04-10T11:37:22Z</dcterms:created>
  <dcterms:modified xsi:type="dcterms:W3CDTF">2010-06-25T14:07:33Z</dcterms:modified>
  <cp:category/>
  <cp:version/>
  <cp:contentType/>
  <cp:contentStatus/>
</cp:coreProperties>
</file>